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Ksiegowowsc\Ks_Zamkniecia\Zycie\KNF_internetowe\2019\"/>
    </mc:Choice>
  </mc:AlternateContent>
  <bookViews>
    <workbookView xWindow="0" yWindow="0" windowWidth="25200" windowHeight="11250" tabRatio="929"/>
  </bookViews>
  <sheets>
    <sheet name="Fundusz Gwarantowany" sheetId="1" r:id="rId1"/>
    <sheet name="Fundusz Stabilnego Wzrostu" sheetId="194" r:id="rId2"/>
    <sheet name="Fundusz Dynamiczny" sheetId="4" r:id="rId3"/>
    <sheet name="Fundusz Obligacji" sheetId="5" r:id="rId4"/>
    <sheet name="Fundusz Aktywnej Alokacji" sheetId="10" r:id="rId5"/>
    <sheet name="Fundusz Akcji Plus" sheetId="11" r:id="rId6"/>
    <sheet name="Fundusz Akcji Małych i ŚS" sheetId="16" r:id="rId7"/>
    <sheet name="Fundusz Pieniężny" sheetId="17" r:id="rId8"/>
    <sheet name="Fundusz Polskich Obl. Skarb." sheetId="81" r:id="rId9"/>
    <sheet name="Fundusz Selektywny" sheetId="78" r:id="rId10"/>
    <sheet name="Fundusz Akcji Glob." sheetId="79" r:id="rId11"/>
    <sheet name="Fundusz Obligacji Glob." sheetId="122" r:id="rId12"/>
    <sheet name="Fundusz Energetyczny" sheetId="121" r:id="rId13"/>
    <sheet name="Portfel Aktywnej Alokacji" sheetId="120" r:id="rId14"/>
    <sheet name="Portfel Dynamiczny" sheetId="69" r:id="rId15"/>
    <sheet name="Portfel Stabilnego Wzrostu" sheetId="67" r:id="rId16"/>
    <sheet name="Portfel ARR" sheetId="53" r:id="rId17"/>
    <sheet name="Portfel ARW" sheetId="94" r:id="rId18"/>
    <sheet name="Portfel OZ" sheetId="93" r:id="rId19"/>
    <sheet name="Portfel OR" sheetId="199" r:id="rId20"/>
    <sheet name="Portfel SA" sheetId="217" r:id="rId21"/>
    <sheet name="Fundusz Konserwatywny" sheetId="95" r:id="rId22"/>
    <sheet name="Fundusz Zrównoważony" sheetId="6" r:id="rId23"/>
    <sheet name="Fundusz Aktywny" sheetId="7" r:id="rId24"/>
    <sheet name="Fundusz Międzynarodowy" sheetId="8" r:id="rId25"/>
    <sheet name="Fundusz Azjatycki" sheetId="9" r:id="rId26"/>
    <sheet name="Aktywny - Surowce i Nowe Gosp." sheetId="13" r:id="rId27"/>
    <sheet name="Zabezpieczony - Dalekiego Wsch." sheetId="58" r:id="rId28"/>
    <sheet name="Zaabezpieczony - Europy Wsch." sheetId="61" r:id="rId29"/>
    <sheet name="Strategii Multiobligacyjnych" sheetId="60" r:id="rId30"/>
    <sheet name="Zabezpieczony - Rynku Polskiego" sheetId="84" r:id="rId31"/>
    <sheet name="Allianz Akcji" sheetId="234" r:id="rId32"/>
    <sheet name="Allianz Stabilnego Wzrostu" sheetId="28" r:id="rId33"/>
    <sheet name="Allianz Obligacji Plus" sheetId="22" r:id="rId34"/>
    <sheet name="Allianz Aktywnej Alokacji" sheetId="49" r:id="rId35"/>
    <sheet name="Allianz Akcji Małych i ŚS" sheetId="29" r:id="rId36"/>
    <sheet name="Allianz Konserw." sheetId="30" r:id="rId37"/>
    <sheet name="Allianz Polskich Obl.Skarb." sheetId="48" r:id="rId38"/>
    <sheet name="Allianz Selektywny" sheetId="83" r:id="rId39"/>
    <sheet name="Allianz Akcji Glob." sheetId="42" r:id="rId40"/>
    <sheet name="Allianz Surowców i Energii" sheetId="188" r:id="rId41"/>
    <sheet name="Allianz Akcji Rynkow Wsch" sheetId="195" r:id="rId42"/>
    <sheet name="Allianz Dyn.Multistrategia" sheetId="196" r:id="rId43"/>
    <sheet name="Allianz Def.Multistrategia" sheetId="209" r:id="rId44"/>
    <sheet name="Allianz Zbal.Multistrategia" sheetId="210" r:id="rId45"/>
    <sheet name="Allianz GSD" sheetId="197" r:id="rId46"/>
    <sheet name="Allianz Obligacji Glob." sheetId="229" r:id="rId47"/>
    <sheet name="Altus ASZD" sheetId="156" r:id="rId48"/>
    <sheet name="Altus ASZRP" sheetId="230" r:id="rId49"/>
    <sheet name="Aviva Dł.Pap.Korp." sheetId="112" r:id="rId50"/>
    <sheet name="Franklin EDF" sheetId="96" r:id="rId51"/>
    <sheet name="Franklin GFS" sheetId="151" r:id="rId52"/>
    <sheet name="Franklin NR" sheetId="107" r:id="rId53"/>
    <sheet name="Franklin USO" sheetId="152" r:id="rId54"/>
    <sheet name="GS EMD" sheetId="211" r:id="rId55"/>
    <sheet name="GS GSMBP" sheetId="218" r:id="rId56"/>
    <sheet name="Inwestor Akcji" sheetId="106" r:id="rId57"/>
    <sheet name="Investor Akcji Sp.Dyw." sheetId="123" r:id="rId58"/>
    <sheet name="Investor TOP 25 MS" sheetId="33" r:id="rId59"/>
    <sheet name="Investor Zrównoważony" sheetId="34" r:id="rId60"/>
    <sheet name="Investor Ameryka Łacińska" sheetId="124" r:id="rId61"/>
    <sheet name="Investor BRIC" sheetId="57" r:id="rId62"/>
    <sheet name="Investor Gold" sheetId="55" r:id="rId63"/>
    <sheet name="Investor Doch." sheetId="43" r:id="rId64"/>
    <sheet name="Investor Indie i Chiny" sheetId="189" r:id="rId65"/>
    <sheet name="Investor Turcja" sheetId="56" r:id="rId66"/>
    <sheet name="Investor OK" sheetId="212" r:id="rId67"/>
    <sheet name="Investor Oszcz." sheetId="202" r:id="rId68"/>
    <sheet name="Investor ZE" sheetId="201" r:id="rId69"/>
    <sheet name="Investor ASW" sheetId="223" r:id="rId70"/>
    <sheet name="Ipopema A" sheetId="206" r:id="rId71"/>
    <sheet name="JPM EMO" sheetId="24" r:id="rId72"/>
    <sheet name="JPM GH" sheetId="149" r:id="rId73"/>
    <sheet name="JPM GSB" sheetId="148" r:id="rId74"/>
    <sheet name="JPM GMO" sheetId="224" r:id="rId75"/>
    <sheet name="Esaliens Akcji" sheetId="186" r:id="rId76"/>
    <sheet name="Esaliens Obligacji" sheetId="35" r:id="rId77"/>
    <sheet name="Esaliens Oszcz." sheetId="153" r:id="rId78"/>
    <sheet name="Esaliens Strateg" sheetId="47" r:id="rId79"/>
    <sheet name="Millenium Master I" sheetId="27" r:id="rId80"/>
    <sheet name="Millenium Master II" sheetId="70" r:id="rId81"/>
    <sheet name="Millenium Master III" sheetId="71" r:id="rId82"/>
    <sheet name="Millenium Master IV" sheetId="72" r:id="rId83"/>
    <sheet name="Millenium Master V" sheetId="73" r:id="rId84"/>
    <sheet name="Millenium Master VI" sheetId="74" r:id="rId85"/>
    <sheet name="Millenium Master VII" sheetId="75" r:id="rId86"/>
    <sheet name="NN Akcji" sheetId="77" r:id="rId87"/>
    <sheet name="NN Obligacji" sheetId="36" r:id="rId88"/>
    <sheet name="NN POI" sheetId="37" r:id="rId89"/>
    <sheet name="NN ŚMS" sheetId="161" r:id="rId90"/>
    <sheet name="NN Eur.SD" sheetId="115" r:id="rId91"/>
    <sheet name="NN Glob. Długu Korp." sheetId="92" r:id="rId92"/>
    <sheet name="NN Glob.SD" sheetId="90" r:id="rId93"/>
    <sheet name="NN J" sheetId="76" r:id="rId94"/>
    <sheet name="NN NA" sheetId="138" r:id="rId95"/>
    <sheet name="NN ORW" sheetId="136" r:id="rId96"/>
    <sheet name="NN Sp.Dyw.USA" sheetId="137" r:id="rId97"/>
    <sheet name="NN SGA" sheetId="163" r:id="rId98"/>
    <sheet name="NN SDRW" sheetId="213" r:id="rId99"/>
    <sheet name="NN D" sheetId="219" r:id="rId100"/>
    <sheet name="Noble AMiŚS" sheetId="164" r:id="rId101"/>
    <sheet name="Noble A" sheetId="114" r:id="rId102"/>
    <sheet name="Noble GR" sheetId="226" r:id="rId103"/>
    <sheet name="Pekao ARW" sheetId="193" r:id="rId104"/>
    <sheet name="Pekao AGD" sheetId="88" r:id="rId105"/>
    <sheet name="Pekao OS" sheetId="167" r:id="rId106"/>
    <sheet name="Pekao Spokojna Inw" sheetId="129" r:id="rId107"/>
    <sheet name="Pekao WDRE" sheetId="168" r:id="rId108"/>
    <sheet name="Pekao Surowców i Energii" sheetId="169" r:id="rId109"/>
    <sheet name="Pekao AP" sheetId="46" r:id="rId110"/>
    <sheet name="Pekao DS" sheetId="89" r:id="rId111"/>
    <sheet name="Pekao OP" sheetId="128" r:id="rId112"/>
    <sheet name="Pekao Kons." sheetId="85" r:id="rId113"/>
    <sheet name="Pekao Kons.+" sheetId="103" r:id="rId114"/>
    <sheet name="Pekao Stab.Inwest." sheetId="102" r:id="rId115"/>
    <sheet name="Pekao DA2" sheetId="104" r:id="rId116"/>
    <sheet name="Pekao AS" sheetId="170" r:id="rId117"/>
    <sheet name="Pekao AA" sheetId="190" r:id="rId118"/>
    <sheet name="Pekao AE" sheetId="165" r:id="rId119"/>
    <sheet name="Pekao SG" sheetId="166" r:id="rId120"/>
    <sheet name="Pekao AMIŚSRR" sheetId="214" r:id="rId121"/>
    <sheet name="Pekao OID" sheetId="220" r:id="rId122"/>
    <sheet name="PKO Akcji Nowa Europa" sheetId="171" r:id="rId123"/>
    <sheet name="PKO Obligacji Dług." sheetId="38" r:id="rId124"/>
    <sheet name="PKO Stabilnego Wzrostu" sheetId="23" r:id="rId125"/>
    <sheet name="PKO Zrównoważony" sheetId="25" r:id="rId126"/>
    <sheet name="PZU ASD" sheetId="173" r:id="rId127"/>
    <sheet name="PZU AK" sheetId="174" r:id="rId128"/>
    <sheet name="PZU AMiŚS" sheetId="130" r:id="rId129"/>
    <sheet name="PZU M" sheetId="39" r:id="rId130"/>
    <sheet name="PZU Zrówn." sheetId="100" r:id="rId131"/>
    <sheet name="PZU ARR" sheetId="99" r:id="rId132"/>
    <sheet name="PZU PDP" sheetId="205" r:id="rId133"/>
    <sheet name="Quercus A" sheetId="101" r:id="rId134"/>
    <sheet name="Quercus LEV" sheetId="118" r:id="rId135"/>
    <sheet name="Quercus OK" sheetId="143" r:id="rId136"/>
    <sheet name="Quercus R" sheetId="119" r:id="rId137"/>
    <sheet name="Quercus GB" sheetId="144" r:id="rId138"/>
    <sheet name="Quercus Short" sheetId="145" r:id="rId139"/>
    <sheet name="Quercus Stab." sheetId="117" r:id="rId140"/>
    <sheet name="Schroder ISF ACB" sheetId="142" r:id="rId141"/>
    <sheet name="Schroder ISF AO" sheetId="147" r:id="rId142"/>
    <sheet name="Schroder ISF EMDAR" sheetId="179" r:id="rId143"/>
    <sheet name="Schroder ISF EE" sheetId="146" r:id="rId144"/>
    <sheet name="Schroder ISF FME" sheetId="133" r:id="rId145"/>
    <sheet name="Schroder ISF GDG" sheetId="132" r:id="rId146"/>
    <sheet name="Schroder ISF GHIB" sheetId="135" r:id="rId147"/>
    <sheet name="Skarbiec Kons." sheetId="134" r:id="rId148"/>
    <sheet name="Skarbiec OWD" sheetId="113" r:id="rId149"/>
    <sheet name="Skarbiec MIŚS" sheetId="140" r:id="rId150"/>
    <sheet name="Skarbiec GMIŚS" sheetId="227" r:id="rId151"/>
    <sheet name="Skarbiec SW" sheetId="175" r:id="rId152"/>
    <sheet name="Skarbiec A" sheetId="215" r:id="rId153"/>
    <sheet name="Skarbiec Brands" sheetId="216" r:id="rId154"/>
    <sheet name="Templeton AG" sheetId="176" r:id="rId155"/>
    <sheet name="Templeton GB" sheetId="159" r:id="rId156"/>
    <sheet name="Templeton GTR" sheetId="109" r:id="rId157"/>
    <sheet name="Templeton LA" sheetId="108" r:id="rId158"/>
    <sheet name="Generali GAW" sheetId="187" r:id="rId159"/>
    <sheet name="Generali Akcje MIŚS" sheetId="177" r:id="rId160"/>
    <sheet name="Generali Akcje Nowa Europa" sheetId="41" r:id="rId161"/>
    <sheet name="Generali Akcje Wzrostu" sheetId="40" r:id="rId162"/>
    <sheet name="Generali Korona Akcje" sheetId="64" r:id="rId163"/>
    <sheet name="Generali Korona Obligacje" sheetId="110" r:id="rId164"/>
    <sheet name="Generali Korona Doch." sheetId="20" r:id="rId165"/>
    <sheet name="Generali Korona Zrównoważony" sheetId="62" r:id="rId166"/>
    <sheet name="Generali Oszcz." sheetId="26" r:id="rId167"/>
    <sheet name="Generali Obligacje Nowa Europa" sheetId="105" r:id="rId168"/>
    <sheet name="Generali Stabilny Wzrost" sheetId="63" r:id="rId169"/>
    <sheet name="Generali Obligacje Aktywny" sheetId="191" r:id="rId170"/>
    <sheet name="Generali Akcje Daleki Wschod" sheetId="228" r:id="rId171"/>
    <sheet name="dodatkowedane" sheetId="80" r:id="rId172"/>
  </sheets>
  <definedNames>
    <definedName name="_xlnm.Print_Area" localSheetId="26">'Aktywny - Surowce i Nowe Gosp.'!$B$2:$E$73</definedName>
    <definedName name="_xlnm.Print_Area" localSheetId="33">'Allianz Obligacji Plus'!$B$2:$E$74</definedName>
    <definedName name="_xlnm.Print_Area" localSheetId="49">'Aviva Dł.Pap.Korp.'!$B$2:$E$74</definedName>
    <definedName name="_xlnm.Print_Area" localSheetId="50">'Franklin EDF'!$B$2:$E$74</definedName>
    <definedName name="_xlnm.Print_Area" localSheetId="52">'Franklin NR'!$B$2:$E$74</definedName>
    <definedName name="_xlnm.Print_Area" localSheetId="10">'Fundusz Akcji Glob.'!$B$2:$E$73</definedName>
    <definedName name="_xlnm.Print_Area" localSheetId="6">'Fundusz Akcji Małych i ŚS'!$B$2:$E$73</definedName>
    <definedName name="_xlnm.Print_Area" localSheetId="5">'Fundusz Akcji Plus'!$B$2:$E$73</definedName>
    <definedName name="_xlnm.Print_Area" localSheetId="4">'Fundusz Aktywnej Alokacji'!$B$2:$E$73</definedName>
    <definedName name="_xlnm.Print_Area" localSheetId="23">'Fundusz Aktywny'!$B$2:$E$73</definedName>
    <definedName name="_xlnm.Print_Area" localSheetId="25">'Fundusz Azjatycki'!$B$2:$E$73</definedName>
    <definedName name="_xlnm.Print_Area" localSheetId="2">'Fundusz Dynamiczny'!$B$2:$E$74</definedName>
    <definedName name="_xlnm.Print_Area" localSheetId="12">'Fundusz Energetyczny'!$B$2:$E$73</definedName>
    <definedName name="_xlnm.Print_Area" localSheetId="0">'Fundusz Gwarantowany'!$B$2:$E$77</definedName>
    <definedName name="_xlnm.Print_Area" localSheetId="21">'Fundusz Konserwatywny'!$B$2:$E$74</definedName>
    <definedName name="_xlnm.Print_Area" localSheetId="24">'Fundusz Międzynarodowy'!$B$2:$E$73</definedName>
    <definedName name="_xlnm.Print_Area" localSheetId="3">'Fundusz Obligacji'!$B$2:$E$74</definedName>
    <definedName name="_xlnm.Print_Area" localSheetId="11">'Fundusz Obligacji Glob.'!$B$2:$E$73</definedName>
    <definedName name="_xlnm.Print_Area" localSheetId="7">'Fundusz Pieniężny'!$B$2:$E$73</definedName>
    <definedName name="_xlnm.Print_Area" localSheetId="8">'Fundusz Polskich Obl. Skarb.'!$B$2:$E$73</definedName>
    <definedName name="_xlnm.Print_Area" localSheetId="9">'Fundusz Selektywny'!$B$2:$E$73</definedName>
    <definedName name="_xlnm.Print_Area" localSheetId="22">'Fundusz Zrównoważony'!$B$2:$E$73</definedName>
    <definedName name="_xlnm.Print_Area" localSheetId="163">'Generali Korona Obligacje'!$B$2:$E$74</definedName>
    <definedName name="_xlnm.Print_Area" localSheetId="167">'Generali Obligacje Nowa Europa'!$B$2:$E$74</definedName>
    <definedName name="_xlnm.Print_Area" localSheetId="57">'Investor Akcji Sp.Dyw.'!$B$2:$E$74</definedName>
    <definedName name="_xlnm.Print_Area" localSheetId="60">'Investor Ameryka Łacińska'!$B$2:$E$74</definedName>
    <definedName name="_xlnm.Print_Area" localSheetId="56">'Inwestor Akcji'!$B$2:$E$74</definedName>
    <definedName name="_xlnm.Print_Area" localSheetId="90">'NN Eur.SD'!$B$2:$E$74</definedName>
    <definedName name="_xlnm.Print_Area" localSheetId="91">'NN Glob. Długu Korp.'!$B$2:$E$74</definedName>
    <definedName name="_xlnm.Print_Area" localSheetId="92">'NN Glob.SD'!$B$2:$E$74</definedName>
    <definedName name="_xlnm.Print_Area" localSheetId="101">'Noble A'!$B$2:$E$74</definedName>
    <definedName name="_xlnm.Print_Area" localSheetId="102">'Noble GR'!$B$2:$E$74</definedName>
    <definedName name="_xlnm.Print_Area" localSheetId="104">'Pekao AGD'!$B$2:$E$74</definedName>
    <definedName name="_xlnm.Print_Area" localSheetId="115">'Pekao DA2'!$B$2:$E$74</definedName>
    <definedName name="_xlnm.Print_Area" localSheetId="110">'Pekao DS'!$B$2:$E$74</definedName>
    <definedName name="_xlnm.Print_Area" localSheetId="112">'Pekao Kons.'!$B$2:$E$74</definedName>
    <definedName name="_xlnm.Print_Area" localSheetId="113">'Pekao Kons.+'!$B$2:$E$74</definedName>
    <definedName name="_xlnm.Print_Area" localSheetId="111">'Pekao OP'!$B$2:$E$74</definedName>
    <definedName name="_xlnm.Print_Area" localSheetId="106">'Pekao Spokojna Inw'!$B$2:$E$74</definedName>
    <definedName name="_xlnm.Print_Area" localSheetId="114">'Pekao Stab.Inwest.'!$B$2:$E$74</definedName>
    <definedName name="_xlnm.Print_Area" localSheetId="13">'Portfel Aktywnej Alokacji'!$B$2:$E$73</definedName>
    <definedName name="_xlnm.Print_Area" localSheetId="16">'Portfel ARR'!$B$2:$E$73</definedName>
    <definedName name="_xlnm.Print_Area" localSheetId="17">'Portfel ARW'!$B$2:$E$74</definedName>
    <definedName name="_xlnm.Print_Area" localSheetId="14">'Portfel Dynamiczny'!$B$2:$E$73</definedName>
    <definedName name="_xlnm.Print_Area" localSheetId="18">'Portfel OZ'!$B$2:$E$74</definedName>
    <definedName name="_xlnm.Print_Area" localSheetId="15">'Portfel Stabilnego Wzrostu'!$B$2:$E$73</definedName>
    <definedName name="_xlnm.Print_Area" localSheetId="128">'PZU AMiŚS'!$B$2:$E$74</definedName>
    <definedName name="_xlnm.Print_Area" localSheetId="131">'PZU ARR'!$B$2:$E$74</definedName>
    <definedName name="_xlnm.Print_Area" localSheetId="129">'PZU M'!$B$2:$E$74</definedName>
    <definedName name="_xlnm.Print_Area" localSheetId="130">'PZU Zrówn.'!$B$2:$E$74</definedName>
    <definedName name="_xlnm.Print_Area" localSheetId="133">'Quercus A'!$B$2:$E$74</definedName>
    <definedName name="_xlnm.Print_Area" localSheetId="134">'Quercus LEV'!$B$2:$E$74</definedName>
    <definedName name="_xlnm.Print_Area" localSheetId="136">'Quercus R'!$B$2:$E$74</definedName>
    <definedName name="_xlnm.Print_Area" localSheetId="139">'Quercus Stab.'!$B$2:$E$74</definedName>
    <definedName name="_xlnm.Print_Area" localSheetId="144">'Schroder ISF FME'!$B$2:$E$74</definedName>
    <definedName name="_xlnm.Print_Area" localSheetId="145">'Schroder ISF GDG'!$B$2:$E$74</definedName>
    <definedName name="_xlnm.Print_Area" localSheetId="146">'Schroder ISF GHIB'!$B$2:$E$74</definedName>
    <definedName name="_xlnm.Print_Area" localSheetId="147">'Skarbiec Kons.'!$B$2:$E$74</definedName>
    <definedName name="_xlnm.Print_Area" localSheetId="148">'Skarbiec OWD'!$B$2:$E$74</definedName>
    <definedName name="_xlnm.Print_Area" localSheetId="156">'Templeton GTR'!$B$2:$E$74</definedName>
    <definedName name="_xlnm.Print_Area" localSheetId="157">'Templeton LA'!$B$2:$E$74</definedName>
    <definedName name="_xlnm.Print_Area" localSheetId="28">'Zaabezpieczony - Europy Wsch.'!$B$2:$E$73</definedName>
    <definedName name="_xlnm.Print_Area" localSheetId="27">'Zabezpieczony - Dalekiego Wsch.'!$B$2:$E$73</definedName>
  </definedNames>
  <calcPr calcId="162913"/>
</workbook>
</file>

<file path=xl/calcChain.xml><?xml version="1.0" encoding="utf-8"?>
<calcChain xmlns="http://schemas.openxmlformats.org/spreadsheetml/2006/main">
  <c r="E58" i="228" l="1"/>
  <c r="E64" i="228" s="1"/>
  <c r="E33" i="133" l="1"/>
  <c r="E28" i="213"/>
  <c r="E27" i="213" s="1"/>
  <c r="E33" i="75" l="1"/>
  <c r="E33" i="74"/>
  <c r="E33" i="73"/>
  <c r="E33" i="72"/>
  <c r="E33" i="71"/>
  <c r="E33" i="70"/>
  <c r="E33" i="27"/>
  <c r="E27" i="79"/>
  <c r="D77" i="121" l="1"/>
  <c r="E41" i="229" l="1"/>
  <c r="D64" i="84" l="1"/>
  <c r="D64" i="61"/>
  <c r="D64" i="58"/>
  <c r="D64" i="13"/>
  <c r="D64" i="93"/>
  <c r="D64" i="67"/>
  <c r="D64" i="69"/>
  <c r="D64" i="120"/>
  <c r="D64" i="122"/>
  <c r="D64" i="78"/>
  <c r="D64" i="81"/>
  <c r="D64" i="17"/>
  <c r="D64" i="16"/>
  <c r="D64" i="11"/>
  <c r="D64" i="10"/>
  <c r="D64" i="5"/>
  <c r="D64" i="4"/>
  <c r="D64" i="194"/>
  <c r="D59" i="1"/>
  <c r="E33" i="62" l="1"/>
  <c r="E32" i="62" s="1"/>
  <c r="E27" i="62" s="1"/>
  <c r="E12" i="62"/>
  <c r="E33" i="20"/>
  <c r="E32" i="20" s="1"/>
  <c r="E27" i="20" s="1"/>
  <c r="E12" i="20"/>
  <c r="E33" i="110"/>
  <c r="E32" i="110" s="1"/>
  <c r="E27" i="110" s="1"/>
  <c r="E12" i="110"/>
  <c r="E33" i="41"/>
  <c r="E32" i="41" s="1"/>
  <c r="E27" i="41" s="1"/>
  <c r="E12" i="41"/>
  <c r="E33" i="177"/>
  <c r="E32" i="177" s="1"/>
  <c r="E27" i="177" s="1"/>
  <c r="E12" i="177"/>
  <c r="E33" i="109"/>
  <c r="E32" i="109" s="1"/>
  <c r="E27" i="109" s="1"/>
  <c r="E12" i="109"/>
  <c r="E12" i="134"/>
  <c r="E12" i="133"/>
  <c r="E32" i="143"/>
  <c r="E27" i="143" s="1"/>
  <c r="E33" i="143"/>
  <c r="E12" i="143"/>
  <c r="E33" i="101"/>
  <c r="E32" i="101" s="1"/>
  <c r="E27" i="101" s="1"/>
  <c r="E12" i="101"/>
  <c r="E33" i="25" l="1"/>
  <c r="E32" i="25" s="1"/>
  <c r="E27" i="25" s="1"/>
  <c r="E12" i="25"/>
  <c r="E32" i="23"/>
  <c r="E27" i="23" s="1"/>
  <c r="E33" i="23"/>
  <c r="E12" i="23"/>
  <c r="E33" i="38"/>
  <c r="E32" i="38" s="1"/>
  <c r="E27" i="38" s="1"/>
  <c r="E12" i="38"/>
  <c r="E33" i="171"/>
  <c r="E32" i="171" s="1"/>
  <c r="E27" i="171" s="1"/>
  <c r="E12" i="171"/>
  <c r="E32" i="128"/>
  <c r="E27" i="128" s="1"/>
  <c r="E33" i="128"/>
  <c r="E12" i="128"/>
  <c r="E12" i="213" l="1"/>
  <c r="E32" i="76"/>
  <c r="E27" i="76" s="1"/>
  <c r="E33" i="76"/>
  <c r="E12" i="76"/>
  <c r="E33" i="90"/>
  <c r="E32" i="90" s="1"/>
  <c r="E27" i="90" s="1"/>
  <c r="E12" i="90"/>
  <c r="E33" i="37"/>
  <c r="E32" i="37" s="1"/>
  <c r="E27" i="37" s="1"/>
  <c r="E12" i="37"/>
  <c r="E32" i="77"/>
  <c r="E27" i="77" s="1"/>
  <c r="E33" i="77"/>
  <c r="E12" i="77"/>
  <c r="E32" i="75"/>
  <c r="E27" i="75" s="1"/>
  <c r="E32" i="73"/>
  <c r="E27" i="73" s="1"/>
  <c r="E12" i="73"/>
  <c r="E32" i="72"/>
  <c r="E27" i="72" s="1"/>
  <c r="E12" i="72"/>
  <c r="E27" i="71"/>
  <c r="E32" i="71"/>
  <c r="E12" i="71"/>
  <c r="E32" i="70"/>
  <c r="E27" i="70" s="1"/>
  <c r="E32" i="27"/>
  <c r="E27" i="27" s="1"/>
  <c r="E33" i="47"/>
  <c r="E32" i="47" s="1"/>
  <c r="E27" i="47" s="1"/>
  <c r="E12" i="47"/>
  <c r="E33" i="153"/>
  <c r="E32" i="153" s="1"/>
  <c r="E27" i="153" s="1"/>
  <c r="E12" i="153"/>
  <c r="E33" i="35"/>
  <c r="E32" i="35" s="1"/>
  <c r="E27" i="35" s="1"/>
  <c r="E12" i="35"/>
  <c r="E33" i="186"/>
  <c r="E32" i="186" s="1"/>
  <c r="E27" i="186" s="1"/>
  <c r="E12" i="186"/>
  <c r="E33" i="189"/>
  <c r="E32" i="189" s="1"/>
  <c r="E27" i="189" s="1"/>
  <c r="E12" i="189"/>
  <c r="E33" i="55"/>
  <c r="E32" i="55" s="1"/>
  <c r="E27" i="55" s="1"/>
  <c r="E12" i="55"/>
  <c r="E33" i="57"/>
  <c r="E32" i="57" s="1"/>
  <c r="E27" i="57" s="1"/>
  <c r="E12" i="57"/>
  <c r="E33" i="124"/>
  <c r="E32" i="124" s="1"/>
  <c r="E27" i="124" s="1"/>
  <c r="E33" i="33"/>
  <c r="E32" i="33" s="1"/>
  <c r="E27" i="33" s="1"/>
  <c r="E12" i="33"/>
  <c r="E32" i="210"/>
  <c r="E27" i="210" s="1"/>
  <c r="E33" i="210"/>
  <c r="E12" i="210"/>
  <c r="E33" i="209"/>
  <c r="E32" i="209" s="1"/>
  <c r="E27" i="209" s="1"/>
  <c r="E12" i="209"/>
  <c r="E33" i="196"/>
  <c r="E32" i="196" s="1"/>
  <c r="E27" i="196" s="1"/>
  <c r="E12" i="196"/>
  <c r="E32" i="83"/>
  <c r="E27" i="83" s="1"/>
  <c r="E33" i="83"/>
  <c r="E12" i="83"/>
  <c r="E33" i="48"/>
  <c r="E32" i="48" s="1"/>
  <c r="E27" i="48" s="1"/>
  <c r="E12" i="48"/>
  <c r="E32" i="28"/>
  <c r="E27" i="28" s="1"/>
  <c r="E33" i="28"/>
  <c r="E32" i="84"/>
  <c r="E27" i="84" s="1"/>
  <c r="E33" i="84"/>
  <c r="E12" i="84"/>
  <c r="E33" i="61"/>
  <c r="E32" i="61" s="1"/>
  <c r="E27" i="61" s="1"/>
  <c r="E12" i="61"/>
  <c r="E33" i="58"/>
  <c r="E32" i="58" s="1"/>
  <c r="E27" i="58" s="1"/>
  <c r="E12" i="58"/>
  <c r="E33" i="13"/>
  <c r="E32" i="13" s="1"/>
  <c r="E27" i="13" s="1"/>
  <c r="E12" i="13"/>
  <c r="E33" i="8"/>
  <c r="E32" i="8" s="1"/>
  <c r="E27" i="8" s="1"/>
  <c r="E12" i="8"/>
  <c r="E33" i="7"/>
  <c r="E32" i="7" s="1"/>
  <c r="E27" i="7" s="1"/>
  <c r="E12" i="7"/>
  <c r="E33" i="6"/>
  <c r="E32" i="6" s="1"/>
  <c r="E27" i="6" s="1"/>
  <c r="E12" i="6"/>
  <c r="E33" i="95"/>
  <c r="E32" i="95" s="1"/>
  <c r="E27" i="95" s="1"/>
  <c r="E12" i="95"/>
  <c r="E27" i="93"/>
  <c r="E32" i="93"/>
  <c r="E33" i="93"/>
  <c r="E12" i="93"/>
  <c r="E33" i="67"/>
  <c r="E32" i="67" s="1"/>
  <c r="E27" i="67" s="1"/>
  <c r="E12" i="67"/>
  <c r="E27" i="69"/>
  <c r="E32" i="69"/>
  <c r="E33" i="69"/>
  <c r="E12" i="69"/>
  <c r="E33" i="120"/>
  <c r="E32" i="120" s="1"/>
  <c r="E27" i="120" s="1"/>
  <c r="E12" i="120"/>
  <c r="E32" i="122"/>
  <c r="E27" i="122" s="1"/>
  <c r="E33" i="122"/>
  <c r="E12" i="122"/>
  <c r="E32" i="78"/>
  <c r="E27" i="78" s="1"/>
  <c r="E33" i="78"/>
  <c r="E12" i="78"/>
  <c r="E33" i="81"/>
  <c r="E32" i="81" s="1"/>
  <c r="E27" i="81" s="1"/>
  <c r="E12" i="81"/>
  <c r="E32" i="17"/>
  <c r="E27" i="17" s="1"/>
  <c r="E33" i="17"/>
  <c r="E12" i="17"/>
  <c r="E27" i="16"/>
  <c r="E32" i="16"/>
  <c r="E33" i="16"/>
  <c r="E12" i="16"/>
  <c r="E33" i="11"/>
  <c r="E32" i="11" s="1"/>
  <c r="E27" i="11" s="1"/>
  <c r="E12" i="11"/>
  <c r="E32" i="10"/>
  <c r="E27" i="10" s="1"/>
  <c r="E33" i="10"/>
  <c r="E12" i="10"/>
  <c r="E32" i="5"/>
  <c r="E27" i="5" s="1"/>
  <c r="E33" i="5"/>
  <c r="E12" i="5"/>
  <c r="E33" i="4"/>
  <c r="E32" i="4" s="1"/>
  <c r="E27" i="4" s="1"/>
  <c r="E12" i="4"/>
  <c r="E33" i="194"/>
  <c r="E32" i="194" s="1"/>
  <c r="E27" i="194" s="1"/>
  <c r="E12" i="194"/>
  <c r="E12" i="1"/>
  <c r="E40" i="121" l="1"/>
  <c r="E74" i="234" l="1"/>
  <c r="E75" i="234" s="1"/>
  <c r="D72" i="234"/>
  <c r="D64" i="234"/>
  <c r="D58" i="234" s="1"/>
  <c r="D74" i="234" s="1"/>
  <c r="D75" i="234" s="1"/>
  <c r="E21" i="134" l="1"/>
  <c r="E11" i="134"/>
  <c r="E21" i="213" l="1"/>
  <c r="E11" i="213"/>
  <c r="E33" i="1"/>
  <c r="E32" i="1" s="1"/>
  <c r="E27" i="1" s="1"/>
  <c r="E12" i="60" l="1"/>
  <c r="D71" i="6" l="1"/>
  <c r="E12" i="217"/>
  <c r="E12" i="199"/>
  <c r="E14" i="93"/>
  <c r="E12" i="94"/>
  <c r="E14" i="53"/>
  <c r="E12" i="53"/>
  <c r="E12" i="121"/>
  <c r="E12" i="79"/>
  <c r="D58" i="1" l="1"/>
  <c r="D18" i="80" l="1"/>
  <c r="D23" i="80" s="1"/>
  <c r="E74" i="230" l="1"/>
  <c r="E75" i="230" s="1"/>
  <c r="D72" i="230"/>
  <c r="D64" i="230"/>
  <c r="D58" i="230" s="1"/>
  <c r="D74" i="230" s="1"/>
  <c r="D75" i="230" s="1"/>
  <c r="D21" i="229"/>
  <c r="D72" i="229"/>
  <c r="D64" i="229" l="1"/>
  <c r="D58" i="229" s="1"/>
  <c r="D74" i="229" l="1"/>
  <c r="D75" i="229" s="1"/>
  <c r="E74" i="229" l="1"/>
  <c r="E75" i="229" s="1"/>
  <c r="E26" i="35" l="1"/>
  <c r="E41" i="35" s="1"/>
  <c r="E11" i="35"/>
  <c r="E21" i="35" s="1"/>
  <c r="E32" i="134" l="1"/>
  <c r="E27" i="134" s="1"/>
  <c r="E41" i="134" s="1"/>
  <c r="D64" i="95" l="1"/>
  <c r="D71" i="1" l="1"/>
  <c r="E17" i="194" l="1"/>
  <c r="D73" i="194" s="1"/>
  <c r="E17" i="4"/>
  <c r="D73" i="4" s="1"/>
  <c r="E17" i="5"/>
  <c r="D73" i="5" s="1"/>
  <c r="E17" i="10"/>
  <c r="E17" i="11"/>
  <c r="E17" i="16"/>
  <c r="E17" i="17"/>
  <c r="E17" i="81"/>
  <c r="E17" i="78"/>
  <c r="E17" i="79"/>
  <c r="E17" i="122"/>
  <c r="E17" i="121"/>
  <c r="E17" i="120"/>
  <c r="E17" i="69"/>
  <c r="E17" i="67"/>
  <c r="E17" i="53"/>
  <c r="E17" i="94"/>
  <c r="E17" i="93"/>
  <c r="E17" i="95"/>
  <c r="E17" i="6"/>
  <c r="E17" i="7"/>
  <c r="E17" i="8"/>
  <c r="E17" i="9"/>
  <c r="E17" i="13"/>
  <c r="E17" i="58"/>
  <c r="E17" i="61"/>
  <c r="E17" i="60"/>
  <c r="E17" i="84"/>
  <c r="E17" i="73"/>
  <c r="E17" i="1"/>
  <c r="D73" i="1" s="1"/>
  <c r="D74" i="1" s="1"/>
  <c r="E14" i="194"/>
  <c r="E11" i="194" s="1"/>
  <c r="E14" i="4"/>
  <c r="E11" i="4" s="1"/>
  <c r="E14" i="5"/>
  <c r="E14" i="10"/>
  <c r="E14" i="11"/>
  <c r="E11" i="11" s="1"/>
  <c r="E21" i="11" s="1"/>
  <c r="E14" i="16"/>
  <c r="E11" i="16" s="1"/>
  <c r="E21" i="16" s="1"/>
  <c r="E14" i="17"/>
  <c r="E11" i="17" s="1"/>
  <c r="E14" i="81"/>
  <c r="E11" i="81" s="1"/>
  <c r="E14" i="78"/>
  <c r="E14" i="79"/>
  <c r="E11" i="79" s="1"/>
  <c r="E21" i="79" s="1"/>
  <c r="E14" i="122"/>
  <c r="E11" i="122" s="1"/>
  <c r="E14" i="121"/>
  <c r="E11" i="121" s="1"/>
  <c r="E14" i="120"/>
  <c r="E14" i="69"/>
  <c r="E11" i="69" s="1"/>
  <c r="E21" i="69" s="1"/>
  <c r="E14" i="67"/>
  <c r="E11" i="61"/>
  <c r="E21" i="61" s="1"/>
  <c r="E14" i="73"/>
  <c r="E11" i="1"/>
  <c r="E21" i="1" s="1"/>
  <c r="E11" i="5"/>
  <c r="E11" i="10"/>
  <c r="E11" i="78"/>
  <c r="E11" i="120"/>
  <c r="E21" i="120" s="1"/>
  <c r="E11" i="67"/>
  <c r="E11" i="53"/>
  <c r="E11" i="94"/>
  <c r="E11" i="93"/>
  <c r="E11" i="199"/>
  <c r="E21" i="199" s="1"/>
  <c r="E11" i="217"/>
  <c r="E21" i="217" s="1"/>
  <c r="E11" i="95"/>
  <c r="E11" i="6"/>
  <c r="E11" i="7"/>
  <c r="E21" i="7" s="1"/>
  <c r="E11" i="8"/>
  <c r="E21" i="8" s="1"/>
  <c r="E11" i="9"/>
  <c r="E11" i="13"/>
  <c r="E11" i="58"/>
  <c r="E21" i="58" s="1"/>
  <c r="E11" i="60"/>
  <c r="E11" i="84"/>
  <c r="E11" i="28"/>
  <c r="E21" i="28" s="1"/>
  <c r="E11" i="22"/>
  <c r="E21" i="22" s="1"/>
  <c r="E11" i="49"/>
  <c r="E21" i="49" s="1"/>
  <c r="E11" i="29"/>
  <c r="E21" i="29" s="1"/>
  <c r="E11" i="30"/>
  <c r="E21" i="30" s="1"/>
  <c r="E11" i="48"/>
  <c r="E21" i="48" s="1"/>
  <c r="E11" i="83"/>
  <c r="E21" i="83" s="1"/>
  <c r="E11" i="42"/>
  <c r="E21" i="42" s="1"/>
  <c r="E11" i="188"/>
  <c r="E21" i="188" s="1"/>
  <c r="E11" i="195"/>
  <c r="E21" i="195" s="1"/>
  <c r="E11" i="196"/>
  <c r="E21" i="196" s="1"/>
  <c r="E11" i="209"/>
  <c r="E21" i="209" s="1"/>
  <c r="E11" i="210"/>
  <c r="E21" i="210" s="1"/>
  <c r="E11" i="197"/>
  <c r="E21" i="197" s="1"/>
  <c r="E11" i="112"/>
  <c r="E21" i="112" s="1"/>
  <c r="E11" i="96"/>
  <c r="E21" i="96" s="1"/>
  <c r="E11" i="151"/>
  <c r="E21" i="151" s="1"/>
  <c r="E11" i="152"/>
  <c r="E21" i="152" s="1"/>
  <c r="E11" i="211"/>
  <c r="E21" i="211" s="1"/>
  <c r="E11" i="218"/>
  <c r="E21" i="218" s="1"/>
  <c r="E11" i="106"/>
  <c r="E21" i="106" s="1"/>
  <c r="E11" i="123"/>
  <c r="E21" i="123" s="1"/>
  <c r="E11" i="33"/>
  <c r="E21" i="33" s="1"/>
  <c r="E11" i="34"/>
  <c r="E21" i="34" s="1"/>
  <c r="E11" i="124"/>
  <c r="E21" i="124" s="1"/>
  <c r="E11" i="57"/>
  <c r="E21" i="57" s="1"/>
  <c r="E11" i="55"/>
  <c r="E21" i="55" s="1"/>
  <c r="E11" i="43"/>
  <c r="E21" i="43" s="1"/>
  <c r="E11" i="189"/>
  <c r="E21" i="189" s="1"/>
  <c r="E11" i="212"/>
  <c r="E21" i="212" s="1"/>
  <c r="E11" i="202"/>
  <c r="E21" i="202" s="1"/>
  <c r="E11" i="201"/>
  <c r="E21" i="201" s="1"/>
  <c r="E11" i="24"/>
  <c r="E21" i="24" s="1"/>
  <c r="E11" i="149"/>
  <c r="E21" i="149" s="1"/>
  <c r="E11" i="148"/>
  <c r="E21" i="148" s="1"/>
  <c r="E11" i="224"/>
  <c r="E21" i="224" s="1"/>
  <c r="E11" i="186"/>
  <c r="E21" i="186" s="1"/>
  <c r="E11" i="153"/>
  <c r="E21" i="153" s="1"/>
  <c r="E11" i="47"/>
  <c r="E21" i="47" s="1"/>
  <c r="E11" i="27"/>
  <c r="E21" i="27" s="1"/>
  <c r="E11" i="70"/>
  <c r="E21" i="70" s="1"/>
  <c r="E11" i="71"/>
  <c r="E21" i="71" s="1"/>
  <c r="E11" i="72"/>
  <c r="E21" i="72" s="1"/>
  <c r="E11" i="73"/>
  <c r="E21" i="73" s="1"/>
  <c r="E11" i="74"/>
  <c r="E21" i="74" s="1"/>
  <c r="E11" i="75"/>
  <c r="E21" i="75" s="1"/>
  <c r="E11" i="77"/>
  <c r="E21" i="77" s="1"/>
  <c r="E11" i="36"/>
  <c r="E21" i="36" s="1"/>
  <c r="E11" i="37"/>
  <c r="E21" i="37" s="1"/>
  <c r="E11" i="161"/>
  <c r="E21" i="161" s="1"/>
  <c r="E11" i="115"/>
  <c r="E21" i="115" s="1"/>
  <c r="E11" i="92"/>
  <c r="E21" i="92" s="1"/>
  <c r="E11" i="90"/>
  <c r="E21" i="90" s="1"/>
  <c r="E11" i="76"/>
  <c r="E21" i="76" s="1"/>
  <c r="E11" i="138"/>
  <c r="E21" i="138" s="1"/>
  <c r="E11" i="136"/>
  <c r="E21" i="136" s="1"/>
  <c r="E11" i="137"/>
  <c r="E21" i="137" s="1"/>
  <c r="E11" i="163"/>
  <c r="E21" i="163" s="1"/>
  <c r="E11" i="164"/>
  <c r="E21" i="164" s="1"/>
  <c r="E11" i="114"/>
  <c r="E21" i="114" s="1"/>
  <c r="E11" i="193"/>
  <c r="E21" i="193" s="1"/>
  <c r="E11" i="88"/>
  <c r="E21" i="88" s="1"/>
  <c r="E11" i="167"/>
  <c r="E21" i="167" s="1"/>
  <c r="E11" i="129"/>
  <c r="E21" i="129" s="1"/>
  <c r="E11" i="168"/>
  <c r="E21" i="168" s="1"/>
  <c r="E11" i="169"/>
  <c r="E21" i="169" s="1"/>
  <c r="E11" i="46"/>
  <c r="E21" i="46" s="1"/>
  <c r="E11" i="89"/>
  <c r="E21" i="89" s="1"/>
  <c r="E11" i="128"/>
  <c r="E21" i="128" s="1"/>
  <c r="E11" i="85"/>
  <c r="E21" i="85" s="1"/>
  <c r="E11" i="103"/>
  <c r="E21" i="103" s="1"/>
  <c r="E11" i="102"/>
  <c r="E21" i="102" s="1"/>
  <c r="E11" i="104"/>
  <c r="E21" i="104" s="1"/>
  <c r="E11" i="170"/>
  <c r="E21" i="170" s="1"/>
  <c r="E11" i="165"/>
  <c r="E21" i="165" s="1"/>
  <c r="E11" i="166"/>
  <c r="E21" i="166" s="1"/>
  <c r="E11" i="214"/>
  <c r="E21" i="214" s="1"/>
  <c r="E11" i="220"/>
  <c r="E21" i="220" s="1"/>
  <c r="E11" i="171"/>
  <c r="E21" i="171" s="1"/>
  <c r="E11" i="38"/>
  <c r="E21" i="38" s="1"/>
  <c r="E11" i="23"/>
  <c r="E21" i="23" s="1"/>
  <c r="E11" i="25"/>
  <c r="E21" i="25" s="1"/>
  <c r="E11" i="173"/>
  <c r="E21" i="173" s="1"/>
  <c r="E11" i="174"/>
  <c r="E21" i="174" s="1"/>
  <c r="E11" i="130"/>
  <c r="E21" i="130" s="1"/>
  <c r="E11" i="39"/>
  <c r="E21" i="39" s="1"/>
  <c r="E11" i="100"/>
  <c r="E21" i="100" s="1"/>
  <c r="E11" i="99"/>
  <c r="E21" i="99" s="1"/>
  <c r="E11" i="205"/>
  <c r="E21" i="205" s="1"/>
  <c r="E11" i="101"/>
  <c r="E21" i="101" s="1"/>
  <c r="E11" i="143"/>
  <c r="E21" i="143" s="1"/>
  <c r="E11" i="144"/>
  <c r="E21" i="144" s="1"/>
  <c r="E11" i="142"/>
  <c r="E21" i="142" s="1"/>
  <c r="E11" i="147"/>
  <c r="E21" i="147" s="1"/>
  <c r="E11" i="179"/>
  <c r="E21" i="179" s="1"/>
  <c r="E11" i="146"/>
  <c r="E21" i="146" s="1"/>
  <c r="E11" i="133"/>
  <c r="E21" i="133" s="1"/>
  <c r="E11" i="132"/>
  <c r="E21" i="132" s="1"/>
  <c r="E11" i="135"/>
  <c r="E21" i="135" s="1"/>
  <c r="E11" i="113"/>
  <c r="E21" i="113" s="1"/>
  <c r="E11" i="140"/>
  <c r="E21" i="140" s="1"/>
  <c r="E11" i="227"/>
  <c r="E21" i="227" s="1"/>
  <c r="E11" i="175"/>
  <c r="E21" i="175" s="1"/>
  <c r="E11" i="215"/>
  <c r="E21" i="215" s="1"/>
  <c r="E11" i="216"/>
  <c r="E21" i="216" s="1"/>
  <c r="E11" i="159"/>
  <c r="E21" i="159" s="1"/>
  <c r="E11" i="109"/>
  <c r="E21" i="109" s="1"/>
  <c r="E11" i="108"/>
  <c r="E21" i="108" s="1"/>
  <c r="E11" i="187"/>
  <c r="E21" i="187" s="1"/>
  <c r="E11" i="177"/>
  <c r="E21" i="177" s="1"/>
  <c r="E11" i="41"/>
  <c r="E21" i="41" s="1"/>
  <c r="E11" i="40"/>
  <c r="E21" i="40" s="1"/>
  <c r="E11" i="64"/>
  <c r="E21" i="64" s="1"/>
  <c r="E11" i="110"/>
  <c r="E21" i="110" s="1"/>
  <c r="E11" i="20"/>
  <c r="E21" i="20" s="1"/>
  <c r="E11" i="62"/>
  <c r="E21" i="62" s="1"/>
  <c r="E11" i="26"/>
  <c r="E21" i="26" s="1"/>
  <c r="E11" i="105"/>
  <c r="E21" i="105" s="1"/>
  <c r="E11" i="63"/>
  <c r="E21" i="63" s="1"/>
  <c r="E11" i="191"/>
  <c r="E21" i="191" s="1"/>
  <c r="E11" i="228"/>
  <c r="E21" i="228" s="1"/>
  <c r="E21" i="84" l="1"/>
  <c r="E21" i="9"/>
  <c r="E21" i="6"/>
  <c r="E21" i="95"/>
  <c r="E21" i="67"/>
  <c r="E21" i="121"/>
  <c r="E21" i="122"/>
  <c r="E21" i="17"/>
  <c r="E21" i="4"/>
  <c r="E77" i="121"/>
  <c r="E62" i="121"/>
  <c r="E69" i="121"/>
  <c r="E21" i="60"/>
  <c r="E21" i="13"/>
  <c r="E21" i="94"/>
  <c r="E21" i="53"/>
  <c r="E21" i="10"/>
  <c r="E21" i="194"/>
  <c r="E21" i="81"/>
  <c r="E21" i="93"/>
  <c r="E21" i="78"/>
  <c r="E21" i="5"/>
  <c r="E76" i="121" l="1"/>
  <c r="E26" i="194" l="1"/>
  <c r="E41" i="194" s="1"/>
  <c r="E26" i="4"/>
  <c r="E41" i="4" s="1"/>
  <c r="E26" i="5"/>
  <c r="E41" i="5" s="1"/>
  <c r="E26" i="10"/>
  <c r="E41" i="10" s="1"/>
  <c r="E26" i="11"/>
  <c r="E41" i="11" s="1"/>
  <c r="E26" i="16"/>
  <c r="E41" i="16" s="1"/>
  <c r="E26" i="17"/>
  <c r="E41" i="17" s="1"/>
  <c r="E26" i="81"/>
  <c r="E41" i="81" s="1"/>
  <c r="E26" i="78"/>
  <c r="E41" i="78" s="1"/>
  <c r="E26" i="79"/>
  <c r="E41" i="79" s="1"/>
  <c r="E26" i="122"/>
  <c r="E41" i="122" s="1"/>
  <c r="E26" i="121"/>
  <c r="E41" i="121" s="1"/>
  <c r="E26" i="120"/>
  <c r="E41" i="120" s="1"/>
  <c r="E26" i="69"/>
  <c r="E41" i="69" s="1"/>
  <c r="E26" i="67"/>
  <c r="E41" i="67" s="1"/>
  <c r="E26" i="53"/>
  <c r="E41" i="53" s="1"/>
  <c r="E26" i="94"/>
  <c r="E41" i="94" s="1"/>
  <c r="E26" i="93"/>
  <c r="E41" i="93" s="1"/>
  <c r="E26" i="199"/>
  <c r="E41" i="199" s="1"/>
  <c r="E26" i="217"/>
  <c r="E41" i="217" s="1"/>
  <c r="E26" i="95"/>
  <c r="E41" i="95" s="1"/>
  <c r="E26" i="6"/>
  <c r="E41" i="6" s="1"/>
  <c r="E26" i="7"/>
  <c r="E41" i="7" s="1"/>
  <c r="E26" i="8"/>
  <c r="E41" i="8" s="1"/>
  <c r="E26" i="9"/>
  <c r="E41" i="9" s="1"/>
  <c r="E26" i="13"/>
  <c r="E41" i="13" s="1"/>
  <c r="E26" i="58"/>
  <c r="E41" i="58" s="1"/>
  <c r="E26" i="61"/>
  <c r="E41" i="61" s="1"/>
  <c r="E26" i="60"/>
  <c r="E41" i="60" s="1"/>
  <c r="E26" i="84"/>
  <c r="E41" i="84" s="1"/>
  <c r="E26" i="28"/>
  <c r="E41" i="28" s="1"/>
  <c r="E26" i="22"/>
  <c r="E41" i="22" s="1"/>
  <c r="E26" i="49"/>
  <c r="E41" i="49" s="1"/>
  <c r="E26" i="29"/>
  <c r="E41" i="29" s="1"/>
  <c r="E26" i="30"/>
  <c r="E41" i="30" s="1"/>
  <c r="E26" i="48"/>
  <c r="E41" i="48" s="1"/>
  <c r="E26" i="83"/>
  <c r="E41" i="83" s="1"/>
  <c r="E26" i="42"/>
  <c r="E41" i="42" s="1"/>
  <c r="E26" i="188"/>
  <c r="E41" i="188" s="1"/>
  <c r="E26" i="195"/>
  <c r="E41" i="195" s="1"/>
  <c r="E26" i="196"/>
  <c r="E41" i="196" s="1"/>
  <c r="E26" i="209"/>
  <c r="E41" i="209" s="1"/>
  <c r="E26" i="210"/>
  <c r="E41" i="210" s="1"/>
  <c r="E26" i="197"/>
  <c r="E41" i="197" s="1"/>
  <c r="E26" i="156"/>
  <c r="E41" i="156" s="1"/>
  <c r="E26" i="112"/>
  <c r="E41" i="112" s="1"/>
  <c r="E26" i="96"/>
  <c r="E41" i="96" s="1"/>
  <c r="E26" i="151"/>
  <c r="E41" i="151" s="1"/>
  <c r="E26" i="152"/>
  <c r="E41" i="152" s="1"/>
  <c r="E26" i="211"/>
  <c r="E41" i="211" s="1"/>
  <c r="E26" i="218"/>
  <c r="E41" i="218" s="1"/>
  <c r="E26" i="106"/>
  <c r="E41" i="106" s="1"/>
  <c r="E26" i="123"/>
  <c r="E41" i="123" s="1"/>
  <c r="E26" i="33"/>
  <c r="E41" i="33" s="1"/>
  <c r="E26" i="34"/>
  <c r="E41" i="34" s="1"/>
  <c r="E26" i="124"/>
  <c r="E41" i="124" s="1"/>
  <c r="E26" i="57"/>
  <c r="E41" i="57" s="1"/>
  <c r="E26" i="55"/>
  <c r="E41" i="55" s="1"/>
  <c r="E26" i="43"/>
  <c r="E41" i="43" s="1"/>
  <c r="E26" i="189"/>
  <c r="E41" i="189" s="1"/>
  <c r="E26" i="212"/>
  <c r="E41" i="212" s="1"/>
  <c r="E26" i="202"/>
  <c r="E41" i="202" s="1"/>
  <c r="E26" i="201"/>
  <c r="E41" i="201" s="1"/>
  <c r="E26" i="24"/>
  <c r="E41" i="24" s="1"/>
  <c r="E26" i="149"/>
  <c r="E41" i="149" s="1"/>
  <c r="E26" i="148"/>
  <c r="E41" i="148" s="1"/>
  <c r="E26" i="224"/>
  <c r="E41" i="224" s="1"/>
  <c r="E26" i="186"/>
  <c r="E41" i="186" s="1"/>
  <c r="E26" i="153"/>
  <c r="E41" i="153" s="1"/>
  <c r="E26" i="47"/>
  <c r="E41" i="47" s="1"/>
  <c r="E26" i="27"/>
  <c r="E41" i="27" s="1"/>
  <c r="E26" i="70"/>
  <c r="E41" i="70" s="1"/>
  <c r="E26" i="71"/>
  <c r="E41" i="71" s="1"/>
  <c r="E26" i="72"/>
  <c r="E41" i="72" s="1"/>
  <c r="E26" i="73"/>
  <c r="E41" i="73" s="1"/>
  <c r="E26" i="74"/>
  <c r="E41" i="74" s="1"/>
  <c r="E26" i="75"/>
  <c r="E41" i="75" s="1"/>
  <c r="E26" i="77"/>
  <c r="E41" i="77" s="1"/>
  <c r="E26" i="36"/>
  <c r="E41" i="36" s="1"/>
  <c r="E26" i="37"/>
  <c r="E41" i="37" s="1"/>
  <c r="E26" i="161"/>
  <c r="E41" i="161" s="1"/>
  <c r="E26" i="115"/>
  <c r="E41" i="115" s="1"/>
  <c r="E26" i="92"/>
  <c r="E41" i="92" s="1"/>
  <c r="E26" i="90"/>
  <c r="E41" i="90" s="1"/>
  <c r="E26" i="76"/>
  <c r="E41" i="76" s="1"/>
  <c r="E26" i="138"/>
  <c r="E41" i="138" s="1"/>
  <c r="E26" i="136"/>
  <c r="E41" i="136" s="1"/>
  <c r="E26" i="137"/>
  <c r="E41" i="137" s="1"/>
  <c r="E26" i="163"/>
  <c r="E41" i="163" s="1"/>
  <c r="E26" i="213"/>
  <c r="E41" i="213" s="1"/>
  <c r="E26" i="164"/>
  <c r="E41" i="164" s="1"/>
  <c r="E26" i="114"/>
  <c r="E41" i="114" s="1"/>
  <c r="E26" i="226"/>
  <c r="E26" i="193"/>
  <c r="E41" i="193" s="1"/>
  <c r="E26" i="88"/>
  <c r="E41" i="88" s="1"/>
  <c r="E26" i="167"/>
  <c r="E41" i="167" s="1"/>
  <c r="E26" i="129"/>
  <c r="E41" i="129" s="1"/>
  <c r="E26" i="168"/>
  <c r="E41" i="168" s="1"/>
  <c r="E26" i="169"/>
  <c r="E41" i="169" s="1"/>
  <c r="E26" i="46"/>
  <c r="E41" i="46" s="1"/>
  <c r="E26" i="89"/>
  <c r="E41" i="89" s="1"/>
  <c r="E26" i="128"/>
  <c r="E41" i="128" s="1"/>
  <c r="E26" i="85"/>
  <c r="E41" i="85" s="1"/>
  <c r="E26" i="103"/>
  <c r="E41" i="103" s="1"/>
  <c r="E26" i="102"/>
  <c r="E41" i="102" s="1"/>
  <c r="E26" i="104"/>
  <c r="E41" i="104" s="1"/>
  <c r="E26" i="170"/>
  <c r="E41" i="170" s="1"/>
  <c r="E26" i="165"/>
  <c r="E41" i="165" s="1"/>
  <c r="E26" i="166"/>
  <c r="E41" i="166" s="1"/>
  <c r="E26" i="214"/>
  <c r="E41" i="214" s="1"/>
  <c r="E26" i="220"/>
  <c r="E41" i="220" s="1"/>
  <c r="E26" i="171"/>
  <c r="E41" i="171" s="1"/>
  <c r="E26" i="38"/>
  <c r="E41" i="38" s="1"/>
  <c r="E26" i="23"/>
  <c r="E41" i="23" s="1"/>
  <c r="E26" i="25"/>
  <c r="E41" i="25" s="1"/>
  <c r="E26" i="173"/>
  <c r="E41" i="173" s="1"/>
  <c r="E26" i="174"/>
  <c r="E41" i="174" s="1"/>
  <c r="E26" i="130"/>
  <c r="E41" i="130" s="1"/>
  <c r="E26" i="39"/>
  <c r="E41" i="39" s="1"/>
  <c r="E26" i="100"/>
  <c r="E41" i="100" s="1"/>
  <c r="E26" i="99"/>
  <c r="E41" i="99" s="1"/>
  <c r="E26" i="205"/>
  <c r="E41" i="205" s="1"/>
  <c r="E26" i="101"/>
  <c r="E41" i="101" s="1"/>
  <c r="E26" i="143"/>
  <c r="E41" i="143" s="1"/>
  <c r="E26" i="144"/>
  <c r="E41" i="144" s="1"/>
  <c r="E26" i="142"/>
  <c r="E41" i="142" s="1"/>
  <c r="E26" i="147"/>
  <c r="E41" i="147" s="1"/>
  <c r="E26" i="179"/>
  <c r="E41" i="179" s="1"/>
  <c r="E26" i="146"/>
  <c r="E41" i="146" s="1"/>
  <c r="E26" i="133"/>
  <c r="E41" i="133" s="1"/>
  <c r="E26" i="132"/>
  <c r="E41" i="132" s="1"/>
  <c r="E26" i="135"/>
  <c r="E41" i="135" s="1"/>
  <c r="E26" i="134"/>
  <c r="E26" i="113"/>
  <c r="E41" i="113" s="1"/>
  <c r="E26" i="140"/>
  <c r="E41" i="140" s="1"/>
  <c r="E26" i="227"/>
  <c r="E41" i="227" s="1"/>
  <c r="E26" i="175"/>
  <c r="E41" i="175" s="1"/>
  <c r="E26" i="215"/>
  <c r="E41" i="215" s="1"/>
  <c r="E26" i="216"/>
  <c r="E41" i="216" s="1"/>
  <c r="E26" i="159"/>
  <c r="E41" i="159" s="1"/>
  <c r="E26" i="109"/>
  <c r="E41" i="109" s="1"/>
  <c r="E26" i="108"/>
  <c r="E41" i="108" s="1"/>
  <c r="E26" i="187"/>
  <c r="E41" i="187" s="1"/>
  <c r="E26" i="177"/>
  <c r="E41" i="177" s="1"/>
  <c r="E26" i="41"/>
  <c r="E41" i="41" s="1"/>
  <c r="E26" i="40"/>
  <c r="E41" i="40" s="1"/>
  <c r="E26" i="64"/>
  <c r="E41" i="64" s="1"/>
  <c r="E26" i="110"/>
  <c r="E41" i="110" s="1"/>
  <c r="E26" i="20"/>
  <c r="E41" i="20" s="1"/>
  <c r="E26" i="62"/>
  <c r="E41" i="62" s="1"/>
  <c r="E26" i="26"/>
  <c r="E41" i="26" s="1"/>
  <c r="E26" i="105"/>
  <c r="E41" i="105" s="1"/>
  <c r="E26" i="63"/>
  <c r="E41" i="63" s="1"/>
  <c r="E26" i="191"/>
  <c r="E41" i="191" s="1"/>
  <c r="E26" i="228"/>
  <c r="E41" i="228" s="1"/>
  <c r="E26" i="1"/>
  <c r="E41" i="1" s="1"/>
  <c r="D64" i="7" l="1"/>
  <c r="E18" i="80" l="1"/>
  <c r="E23" i="80" s="1"/>
  <c r="E74" i="228" l="1"/>
  <c r="E75" i="228" s="1"/>
  <c r="D72" i="228"/>
  <c r="D64" i="228"/>
  <c r="D58" i="228" s="1"/>
  <c r="D74" i="228" s="1"/>
  <c r="D75" i="228" s="1"/>
  <c r="D72" i="227"/>
  <c r="D64" i="227" l="1"/>
  <c r="D58" i="227" s="1"/>
  <c r="D74" i="227" l="1"/>
  <c r="D75" i="227" s="1"/>
  <c r="E58" i="227"/>
  <c r="E64" i="227" l="1"/>
  <c r="E74" i="227"/>
  <c r="E75" i="227" s="1"/>
  <c r="D72" i="226" l="1"/>
  <c r="D64" i="226" l="1"/>
  <c r="D58" i="226" s="1"/>
  <c r="D74" i="226" l="1"/>
  <c r="D75" i="226" s="1"/>
  <c r="E74" i="226" l="1"/>
  <c r="E75" i="226" s="1"/>
  <c r="E64" i="226"/>
  <c r="D64" i="6" l="1"/>
  <c r="D72" i="224" l="1"/>
  <c r="D72" i="223"/>
  <c r="D64" i="224" l="1"/>
  <c r="D58" i="224" s="1"/>
  <c r="D74" i="224" s="1"/>
  <c r="D76" i="224" s="1"/>
  <c r="E58" i="224" l="1"/>
  <c r="E64" i="224" s="1"/>
  <c r="E74" i="224" l="1"/>
  <c r="E76" i="224" s="1"/>
  <c r="E74" i="223"/>
  <c r="E75" i="223" s="1"/>
  <c r="E64" i="223"/>
  <c r="D64" i="8" l="1"/>
  <c r="D71" i="84" l="1"/>
  <c r="D72" i="220" l="1"/>
  <c r="D72" i="219"/>
  <c r="D72" i="218"/>
  <c r="D64" i="219" l="1"/>
  <c r="D58" i="219" s="1"/>
  <c r="D64" i="218"/>
  <c r="D58" i="218" s="1"/>
  <c r="D74" i="218" s="1"/>
  <c r="D76" i="218" s="1"/>
  <c r="D64" i="220"/>
  <c r="D58" i="220" s="1"/>
  <c r="D74" i="219" l="1"/>
  <c r="D75" i="219" s="1"/>
  <c r="E58" i="218"/>
  <c r="E74" i="218" s="1"/>
  <c r="E76" i="218" s="1"/>
  <c r="D74" i="220"/>
  <c r="D75" i="220" s="1"/>
  <c r="E58" i="220"/>
  <c r="E74" i="219"/>
  <c r="E75" i="219" s="1"/>
  <c r="E64" i="218"/>
  <c r="E74" i="220" l="1"/>
  <c r="E75" i="220" s="1"/>
  <c r="E64" i="220"/>
  <c r="D71" i="8" l="1"/>
  <c r="D73" i="10" l="1"/>
  <c r="D73" i="11"/>
  <c r="D73" i="17"/>
  <c r="D73" i="69"/>
  <c r="D73" i="7"/>
  <c r="D64" i="48"/>
  <c r="D73" i="48"/>
  <c r="D64" i="196"/>
  <c r="D58" i="196" s="1"/>
  <c r="D73" i="196"/>
  <c r="D64" i="70"/>
  <c r="D73" i="70"/>
  <c r="D64" i="71"/>
  <c r="D58" i="71" s="1"/>
  <c r="D73" i="71"/>
  <c r="D64" i="72"/>
  <c r="D73" i="72"/>
  <c r="D64" i="73"/>
  <c r="D58" i="73" s="1"/>
  <c r="D73" i="73"/>
  <c r="D64" i="74"/>
  <c r="D58" i="74" s="1"/>
  <c r="E58" i="74" s="1"/>
  <c r="E64" i="74" s="1"/>
  <c r="D73" i="74"/>
  <c r="D64" i="55"/>
  <c r="D58" i="55" s="1"/>
  <c r="D73" i="55"/>
  <c r="D64" i="37"/>
  <c r="D73" i="37"/>
  <c r="D64" i="90"/>
  <c r="D58" i="90" s="1"/>
  <c r="D73" i="90"/>
  <c r="D64" i="153"/>
  <c r="D58" i="153" s="1"/>
  <c r="D73" i="153"/>
  <c r="D64" i="23"/>
  <c r="D73" i="23"/>
  <c r="D64" i="143"/>
  <c r="D58" i="143" s="1"/>
  <c r="D73" i="143"/>
  <c r="D64" i="134"/>
  <c r="D58" i="134" s="1"/>
  <c r="D73" i="134"/>
  <c r="D64" i="177"/>
  <c r="D73" i="177"/>
  <c r="D64" i="110"/>
  <c r="D58" i="110" s="1"/>
  <c r="D73" i="110"/>
  <c r="D64" i="20"/>
  <c r="D73" i="20"/>
  <c r="D73" i="217"/>
  <c r="D72" i="217"/>
  <c r="D71" i="217"/>
  <c r="D71" i="4"/>
  <c r="D71" i="5"/>
  <c r="D71" i="10"/>
  <c r="D71" i="11"/>
  <c r="D71" i="16"/>
  <c r="D71" i="17"/>
  <c r="D71" i="81"/>
  <c r="D71" i="78"/>
  <c r="D71" i="79"/>
  <c r="D71" i="122"/>
  <c r="D71" i="121"/>
  <c r="E71" i="121" s="1"/>
  <c r="D71" i="120"/>
  <c r="D71" i="69"/>
  <c r="D71" i="67"/>
  <c r="E71" i="67" s="1"/>
  <c r="D71" i="53"/>
  <c r="D71" i="94"/>
  <c r="D71" i="93"/>
  <c r="E71" i="93" s="1"/>
  <c r="D71" i="199"/>
  <c r="D71" i="194"/>
  <c r="D72" i="216"/>
  <c r="D72" i="215"/>
  <c r="D72" i="214"/>
  <c r="D72" i="213"/>
  <c r="D72" i="212"/>
  <c r="D72" i="211"/>
  <c r="D72" i="210"/>
  <c r="D72" i="209"/>
  <c r="D72" i="206"/>
  <c r="D72" i="205"/>
  <c r="D72" i="201"/>
  <c r="D72" i="202"/>
  <c r="G21" i="145"/>
  <c r="D58" i="20"/>
  <c r="E58" i="20" s="1"/>
  <c r="E64" i="20" s="1"/>
  <c r="D58" i="177"/>
  <c r="D58" i="23"/>
  <c r="D58" i="37"/>
  <c r="D58" i="72"/>
  <c r="D58" i="70"/>
  <c r="D58" i="84"/>
  <c r="D73" i="84"/>
  <c r="D58" i="60"/>
  <c r="D73" i="60"/>
  <c r="D58" i="61"/>
  <c r="D73" i="61"/>
  <c r="D58" i="58"/>
  <c r="D73" i="58"/>
  <c r="D58" i="13"/>
  <c r="D73" i="13"/>
  <c r="D64" i="9"/>
  <c r="D73" i="9"/>
  <c r="D58" i="8"/>
  <c r="D73" i="8"/>
  <c r="D58" i="6"/>
  <c r="D73" i="6"/>
  <c r="D71" i="95"/>
  <c r="D58" i="95"/>
  <c r="D72" i="199"/>
  <c r="D58" i="199"/>
  <c r="D73" i="199"/>
  <c r="D72" i="197"/>
  <c r="D72" i="196"/>
  <c r="D72" i="195"/>
  <c r="D73" i="95"/>
  <c r="D58" i="93"/>
  <c r="D58" i="94"/>
  <c r="D73" i="94"/>
  <c r="D58" i="53"/>
  <c r="D73" i="53"/>
  <c r="E73" i="53" s="1"/>
  <c r="D58" i="67"/>
  <c r="D73" i="67"/>
  <c r="D58" i="69"/>
  <c r="D58" i="120"/>
  <c r="D73" i="120"/>
  <c r="D58" i="10"/>
  <c r="D58" i="11"/>
  <c r="D58" i="16"/>
  <c r="D58" i="17"/>
  <c r="D58" i="81"/>
  <c r="D58" i="78"/>
  <c r="D58" i="79"/>
  <c r="D58" i="122"/>
  <c r="D58" i="121"/>
  <c r="D58" i="5"/>
  <c r="D73" i="16"/>
  <c r="D73" i="81"/>
  <c r="D73" i="78"/>
  <c r="D73" i="79"/>
  <c r="D73" i="122"/>
  <c r="D73" i="121"/>
  <c r="D72" i="10"/>
  <c r="D72" i="11"/>
  <c r="D72" i="16"/>
  <c r="D72" i="78"/>
  <c r="D72" i="79"/>
  <c r="D72" i="122"/>
  <c r="D72" i="121"/>
  <c r="D72" i="5"/>
  <c r="D58" i="4"/>
  <c r="D58" i="194"/>
  <c r="D58" i="48"/>
  <c r="D64" i="30"/>
  <c r="D58" i="30" s="1"/>
  <c r="D72" i="191"/>
  <c r="D72" i="63"/>
  <c r="D72" i="105"/>
  <c r="D72" i="26"/>
  <c r="D72" i="62"/>
  <c r="D72" i="20"/>
  <c r="D72" i="110"/>
  <c r="D72" i="64"/>
  <c r="D72" i="40"/>
  <c r="D72" i="41"/>
  <c r="D72" i="177"/>
  <c r="D72" i="187"/>
  <c r="D72" i="108"/>
  <c r="D72" i="109"/>
  <c r="D72" i="159"/>
  <c r="D72" i="176"/>
  <c r="D72" i="175"/>
  <c r="D72" i="140"/>
  <c r="D72" i="113"/>
  <c r="D72" i="134"/>
  <c r="D72" i="135"/>
  <c r="D72" i="132"/>
  <c r="D72" i="133"/>
  <c r="D72" i="146"/>
  <c r="D72" i="179"/>
  <c r="D72" i="147"/>
  <c r="D72" i="142"/>
  <c r="D72" i="117"/>
  <c r="D72" i="145"/>
  <c r="D72" i="144"/>
  <c r="D72" i="119"/>
  <c r="D72" i="143"/>
  <c r="D72" i="118"/>
  <c r="D72" i="101"/>
  <c r="D72" i="99"/>
  <c r="D72" i="100"/>
  <c r="D72" i="39"/>
  <c r="D72" i="130"/>
  <c r="D72" i="174"/>
  <c r="D72" i="173"/>
  <c r="D72" i="25"/>
  <c r="G21" i="25"/>
  <c r="D72" i="23"/>
  <c r="D72" i="38"/>
  <c r="D72" i="171"/>
  <c r="D72" i="166"/>
  <c r="D72" i="165"/>
  <c r="E75" i="190"/>
  <c r="D72" i="190"/>
  <c r="D72" i="170"/>
  <c r="D72" i="104"/>
  <c r="D72" i="102"/>
  <c r="D72" i="103"/>
  <c r="D72" i="85"/>
  <c r="D72" i="128"/>
  <c r="D72" i="89"/>
  <c r="D72" i="46"/>
  <c r="D72" i="169"/>
  <c r="D72" i="168"/>
  <c r="D72" i="129"/>
  <c r="D72" i="167"/>
  <c r="D72" i="88"/>
  <c r="D72" i="193"/>
  <c r="D72" i="114"/>
  <c r="D72" i="164"/>
  <c r="D72" i="163"/>
  <c r="D72" i="137"/>
  <c r="D72" i="136"/>
  <c r="D72" i="138"/>
  <c r="D72" i="76"/>
  <c r="D72" i="90"/>
  <c r="D72" i="92"/>
  <c r="D72" i="115"/>
  <c r="D72" i="161"/>
  <c r="D72" i="37"/>
  <c r="D72" i="36"/>
  <c r="D72" i="77"/>
  <c r="D72" i="75"/>
  <c r="D72" i="74"/>
  <c r="D72" i="73"/>
  <c r="D72" i="72"/>
  <c r="D72" i="71"/>
  <c r="D72" i="27"/>
  <c r="D72" i="47"/>
  <c r="D72" i="153"/>
  <c r="D72" i="35"/>
  <c r="D72" i="186"/>
  <c r="D72" i="148"/>
  <c r="D72" i="149"/>
  <c r="D72" i="24"/>
  <c r="D72" i="56"/>
  <c r="D72" i="189"/>
  <c r="D72" i="43"/>
  <c r="D72" i="55"/>
  <c r="D72" i="57"/>
  <c r="D72" i="124"/>
  <c r="D72" i="34"/>
  <c r="D72" i="33"/>
  <c r="D72" i="123"/>
  <c r="D72" i="106"/>
  <c r="D72" i="152"/>
  <c r="D72" i="107"/>
  <c r="D72" i="151"/>
  <c r="D72" i="96"/>
  <c r="D72" i="112"/>
  <c r="D72" i="156"/>
  <c r="D72" i="188"/>
  <c r="D72" i="42"/>
  <c r="D72" i="83"/>
  <c r="D72" i="48"/>
  <c r="D72" i="30"/>
  <c r="D72" i="29"/>
  <c r="D72" i="49"/>
  <c r="D72" i="22"/>
  <c r="D72" i="28"/>
  <c r="D72" i="84"/>
  <c r="D72" i="60"/>
  <c r="D72" i="61"/>
  <c r="D72" i="58"/>
  <c r="D72" i="13"/>
  <c r="D72" i="9"/>
  <c r="D72" i="7"/>
  <c r="D72" i="6"/>
  <c r="D72" i="95"/>
  <c r="D72" i="93"/>
  <c r="D72" i="53"/>
  <c r="E72" i="53" s="1"/>
  <c r="D72" i="120"/>
  <c r="D72" i="4"/>
  <c r="D72" i="194"/>
  <c r="E69" i="53"/>
  <c r="E64" i="53"/>
  <c r="E58" i="177"/>
  <c r="E64" i="177" s="1"/>
  <c r="D74" i="72" l="1"/>
  <c r="D76" i="72" s="1"/>
  <c r="D74" i="58"/>
  <c r="D74" i="6"/>
  <c r="D74" i="95"/>
  <c r="D75" i="121"/>
  <c r="E75" i="121" s="1"/>
  <c r="E58" i="72"/>
  <c r="E64" i="72" s="1"/>
  <c r="D74" i="196"/>
  <c r="D75" i="196" s="1"/>
  <c r="E58" i="196"/>
  <c r="E64" i="196" s="1"/>
  <c r="D74" i="120"/>
  <c r="D75" i="120" s="1"/>
  <c r="D74" i="4"/>
  <c r="D75" i="4" s="1"/>
  <c r="D74" i="70"/>
  <c r="D76" i="70" s="1"/>
  <c r="D74" i="194"/>
  <c r="D75" i="194" s="1"/>
  <c r="D75" i="95"/>
  <c r="E58" i="37"/>
  <c r="E64" i="37" s="1"/>
  <c r="E58" i="110"/>
  <c r="E64" i="110" s="1"/>
  <c r="E58" i="153"/>
  <c r="E64" i="153" s="1"/>
  <c r="D74" i="60"/>
  <c r="D75" i="60" s="1"/>
  <c r="E72" i="93"/>
  <c r="D72" i="69"/>
  <c r="D74" i="69" s="1"/>
  <c r="D75" i="69" s="1"/>
  <c r="E58" i="70"/>
  <c r="E64" i="70" s="1"/>
  <c r="D75" i="58"/>
  <c r="E73" i="6"/>
  <c r="D75" i="6"/>
  <c r="D72" i="94"/>
  <c r="E72" i="4"/>
  <c r="D64" i="156"/>
  <c r="D58" i="156" s="1"/>
  <c r="D58" i="9"/>
  <c r="D74" i="9" s="1"/>
  <c r="D72" i="8"/>
  <c r="D74" i="8" s="1"/>
  <c r="D75" i="8" s="1"/>
  <c r="G21" i="199"/>
  <c r="E76" i="93"/>
  <c r="E76" i="53"/>
  <c r="D74" i="53"/>
  <c r="D72" i="67"/>
  <c r="D74" i="67" s="1"/>
  <c r="D75" i="67" s="1"/>
  <c r="E58" i="6"/>
  <c r="E74" i="6" s="1"/>
  <c r="E75" i="6" s="1"/>
  <c r="E64" i="6"/>
  <c r="D64" i="191"/>
  <c r="D58" i="191" s="1"/>
  <c r="E58" i="191" s="1"/>
  <c r="D64" i="63"/>
  <c r="D58" i="63" s="1"/>
  <c r="D74" i="63" s="1"/>
  <c r="D75" i="63" s="1"/>
  <c r="D64" i="105"/>
  <c r="D58" i="105" s="1"/>
  <c r="E58" i="105" s="1"/>
  <c r="E64" i="105" s="1"/>
  <c r="D64" i="26"/>
  <c r="D58" i="26" s="1"/>
  <c r="E58" i="26" s="1"/>
  <c r="D64" i="62"/>
  <c r="D58" i="62" s="1"/>
  <c r="D64" i="40"/>
  <c r="D58" i="40" s="1"/>
  <c r="D64" i="187"/>
  <c r="D58" i="187" s="1"/>
  <c r="D64" i="108"/>
  <c r="D58" i="108" s="1"/>
  <c r="E58" i="108" s="1"/>
  <c r="D64" i="216"/>
  <c r="D58" i="216" s="1"/>
  <c r="E58" i="216" s="1"/>
  <c r="D64" i="215"/>
  <c r="D58" i="215" s="1"/>
  <c r="D64" i="175"/>
  <c r="D58" i="175" s="1"/>
  <c r="E58" i="175" s="1"/>
  <c r="D64" i="140"/>
  <c r="D58" i="140" s="1"/>
  <c r="D64" i="113"/>
  <c r="D58" i="113" s="1"/>
  <c r="D64" i="146"/>
  <c r="D58" i="146" s="1"/>
  <c r="E58" i="146" s="1"/>
  <c r="D64" i="117"/>
  <c r="D58" i="117" s="1"/>
  <c r="D64" i="145"/>
  <c r="D58" i="145" s="1"/>
  <c r="D64" i="144"/>
  <c r="D58" i="144" s="1"/>
  <c r="D64" i="119"/>
  <c r="D58" i="119" s="1"/>
  <c r="D74" i="119" s="1"/>
  <c r="D75" i="119" s="1"/>
  <c r="D64" i="118"/>
  <c r="D58" i="118" s="1"/>
  <c r="D64" i="205"/>
  <c r="D58" i="205" s="1"/>
  <c r="E58" i="205" s="1"/>
  <c r="D64" i="99"/>
  <c r="D58" i="99" s="1"/>
  <c r="D74" i="99" s="1"/>
  <c r="D75" i="99" s="1"/>
  <c r="D64" i="100"/>
  <c r="D58" i="100" s="1"/>
  <c r="E58" i="100" s="1"/>
  <c r="D64" i="39"/>
  <c r="D58" i="39" s="1"/>
  <c r="D64" i="130"/>
  <c r="D58" i="130" s="1"/>
  <c r="D64" i="174"/>
  <c r="D58" i="174" s="1"/>
  <c r="D74" i="174" s="1"/>
  <c r="D75" i="174" s="1"/>
  <c r="D64" i="25"/>
  <c r="D58" i="25" s="1"/>
  <c r="E58" i="25" s="1"/>
  <c r="E64" i="25" s="1"/>
  <c r="D64" i="38"/>
  <c r="D58" i="38" s="1"/>
  <c r="D64" i="171"/>
  <c r="D58" i="171" s="1"/>
  <c r="E58" i="171" s="1"/>
  <c r="E64" i="171" s="1"/>
  <c r="D64" i="214"/>
  <c r="D58" i="214" s="1"/>
  <c r="E58" i="214" s="1"/>
  <c r="D64" i="166"/>
  <c r="D58" i="166" s="1"/>
  <c r="D64" i="165"/>
  <c r="D58" i="165" s="1"/>
  <c r="D64" i="190"/>
  <c r="D58" i="190" s="1"/>
  <c r="D74" i="190" s="1"/>
  <c r="D75" i="190" s="1"/>
  <c r="D64" i="170"/>
  <c r="D58" i="170" s="1"/>
  <c r="E58" i="170" s="1"/>
  <c r="E64" i="170" s="1"/>
  <c r="D64" i="102"/>
  <c r="D58" i="102" s="1"/>
  <c r="D74" i="102" s="1"/>
  <c r="D75" i="102" s="1"/>
  <c r="D64" i="103"/>
  <c r="D58" i="103" s="1"/>
  <c r="D64" i="89"/>
  <c r="D58" i="89" s="1"/>
  <c r="D74" i="89" s="1"/>
  <c r="D75" i="89" s="1"/>
  <c r="D64" i="168"/>
  <c r="D58" i="168" s="1"/>
  <c r="D64" i="88"/>
  <c r="D58" i="88" s="1"/>
  <c r="D74" i="88" s="1"/>
  <c r="D75" i="88" s="1"/>
  <c r="D64" i="114"/>
  <c r="D58" i="114" s="1"/>
  <c r="D64" i="164"/>
  <c r="D58" i="164" s="1"/>
  <c r="D64" i="92"/>
  <c r="D58" i="92" s="1"/>
  <c r="D64" i="163"/>
  <c r="D58" i="163" s="1"/>
  <c r="E58" i="163" s="1"/>
  <c r="E64" i="163" s="1"/>
  <c r="D64" i="137"/>
  <c r="D58" i="137" s="1"/>
  <c r="D64" i="136"/>
  <c r="D58" i="136" s="1"/>
  <c r="D74" i="136" s="1"/>
  <c r="D75" i="136" s="1"/>
  <c r="D64" i="138"/>
  <c r="D58" i="138" s="1"/>
  <c r="D74" i="90"/>
  <c r="D75" i="90" s="1"/>
  <c r="E58" i="90"/>
  <c r="E64" i="90" s="1"/>
  <c r="D64" i="115"/>
  <c r="D58" i="115" s="1"/>
  <c r="D64" i="161"/>
  <c r="D58" i="161" s="1"/>
  <c r="D64" i="36"/>
  <c r="D58" i="36" s="1"/>
  <c r="E58" i="36" s="1"/>
  <c r="D64" i="77"/>
  <c r="D58" i="77" s="1"/>
  <c r="E58" i="77" s="1"/>
  <c r="D64" i="75"/>
  <c r="D58" i="75" s="1"/>
  <c r="D74" i="75" s="1"/>
  <c r="D76" i="75" s="1"/>
  <c r="D74" i="71"/>
  <c r="D76" i="71" s="1"/>
  <c r="E58" i="71"/>
  <c r="E64" i="71" s="1"/>
  <c r="D64" i="149"/>
  <c r="D58" i="149" s="1"/>
  <c r="D64" i="24"/>
  <c r="D58" i="24" s="1"/>
  <c r="D74" i="24" s="1"/>
  <c r="D76" i="24" s="1"/>
  <c r="D64" i="201"/>
  <c r="D58" i="201" s="1"/>
  <c r="D74" i="201" s="1"/>
  <c r="D75" i="201" s="1"/>
  <c r="D64" i="212"/>
  <c r="D58" i="212" s="1"/>
  <c r="D74" i="212" s="1"/>
  <c r="D75" i="212" s="1"/>
  <c r="D64" i="56"/>
  <c r="D58" i="56" s="1"/>
  <c r="D64" i="189"/>
  <c r="D58" i="189" s="1"/>
  <c r="E58" i="189" s="1"/>
  <c r="D64" i="43"/>
  <c r="D58" i="43" s="1"/>
  <c r="D64" i="124"/>
  <c r="D58" i="124" s="1"/>
  <c r="D64" i="34"/>
  <c r="D58" i="34" s="1"/>
  <c r="D64" i="123"/>
  <c r="D58" i="123" s="1"/>
  <c r="D64" i="106"/>
  <c r="D58" i="106" s="1"/>
  <c r="D64" i="211"/>
  <c r="D58" i="211" s="1"/>
  <c r="E58" i="211" s="1"/>
  <c r="D64" i="107"/>
  <c r="D58" i="107" s="1"/>
  <c r="D64" i="151"/>
  <c r="D58" i="151" s="1"/>
  <c r="D64" i="96"/>
  <c r="D58" i="96" s="1"/>
  <c r="D64" i="112"/>
  <c r="D58" i="112" s="1"/>
  <c r="E58" i="112" s="1"/>
  <c r="D64" i="28"/>
  <c r="D58" i="28" s="1"/>
  <c r="E58" i="28" s="1"/>
  <c r="D72" i="81"/>
  <c r="D74" i="81" s="1"/>
  <c r="D75" i="81" s="1"/>
  <c r="D72" i="17"/>
  <c r="E72" i="17" s="1"/>
  <c r="E71" i="95"/>
  <c r="E64" i="95"/>
  <c r="E58" i="95"/>
  <c r="E73" i="95"/>
  <c r="D74" i="122"/>
  <c r="D75" i="122" s="1"/>
  <c r="E58" i="63"/>
  <c r="D74" i="199"/>
  <c r="D75" i="199" s="1"/>
  <c r="D74" i="84"/>
  <c r="D75" i="84" s="1"/>
  <c r="D74" i="23"/>
  <c r="E73" i="23"/>
  <c r="D64" i="41"/>
  <c r="D58" i="41" s="1"/>
  <c r="D64" i="101"/>
  <c r="D58" i="101" s="1"/>
  <c r="D64" i="173"/>
  <c r="D58" i="173" s="1"/>
  <c r="D64" i="104"/>
  <c r="D58" i="104" s="1"/>
  <c r="D64" i="213"/>
  <c r="D58" i="213" s="1"/>
  <c r="D74" i="213" s="1"/>
  <c r="D75" i="213" s="1"/>
  <c r="D64" i="76"/>
  <c r="D58" i="76" s="1"/>
  <c r="E58" i="76" s="1"/>
  <c r="D74" i="73"/>
  <c r="D76" i="73" s="1"/>
  <c r="E58" i="73"/>
  <c r="E64" i="73" s="1"/>
  <c r="D64" i="27"/>
  <c r="D58" i="27" s="1"/>
  <c r="D74" i="27" s="1"/>
  <c r="D76" i="27" s="1"/>
  <c r="D64" i="202"/>
  <c r="D58" i="202" s="1"/>
  <c r="E58" i="202" s="1"/>
  <c r="D64" i="57"/>
  <c r="D58" i="57" s="1"/>
  <c r="D64" i="33"/>
  <c r="D58" i="33" s="1"/>
  <c r="E58" i="53"/>
  <c r="E74" i="53" s="1"/>
  <c r="E64" i="4"/>
  <c r="D74" i="13"/>
  <c r="D75" i="13" s="1"/>
  <c r="D72" i="1"/>
  <c r="E58" i="199"/>
  <c r="E64" i="199"/>
  <c r="E73" i="199"/>
  <c r="E69" i="199"/>
  <c r="D74" i="20"/>
  <c r="D75" i="20" s="1"/>
  <c r="D74" i="110"/>
  <c r="D75" i="110" s="1"/>
  <c r="D64" i="64"/>
  <c r="D58" i="64" s="1"/>
  <c r="E58" i="64" s="1"/>
  <c r="D75" i="177"/>
  <c r="D74" i="177" s="1"/>
  <c r="D64" i="109"/>
  <c r="D58" i="109" s="1"/>
  <c r="D64" i="159"/>
  <c r="D58" i="159" s="1"/>
  <c r="D64" i="176"/>
  <c r="D58" i="176" s="1"/>
  <c r="D74" i="134"/>
  <c r="D75" i="134" s="1"/>
  <c r="D64" i="135"/>
  <c r="D58" i="135" s="1"/>
  <c r="D64" i="132"/>
  <c r="D58" i="132" s="1"/>
  <c r="D64" i="133"/>
  <c r="D58" i="133" s="1"/>
  <c r="D64" i="179"/>
  <c r="D58" i="179" s="1"/>
  <c r="D64" i="147"/>
  <c r="D58" i="147" s="1"/>
  <c r="D74" i="147" s="1"/>
  <c r="D76" i="147" s="1"/>
  <c r="D64" i="142"/>
  <c r="D58" i="142" s="1"/>
  <c r="D74" i="143"/>
  <c r="D75" i="143" s="1"/>
  <c r="D64" i="85"/>
  <c r="D58" i="85" s="1"/>
  <c r="D64" i="128"/>
  <c r="D64" i="46"/>
  <c r="D58" i="46" s="1"/>
  <c r="E58" i="46" s="1"/>
  <c r="D64" i="169"/>
  <c r="D58" i="169" s="1"/>
  <c r="E58" i="169" s="1"/>
  <c r="D64" i="129"/>
  <c r="D58" i="129" s="1"/>
  <c r="D74" i="129" s="1"/>
  <c r="D75" i="129" s="1"/>
  <c r="D64" i="167"/>
  <c r="D58" i="167" s="1"/>
  <c r="D74" i="167" s="1"/>
  <c r="D75" i="167" s="1"/>
  <c r="D64" i="193"/>
  <c r="D58" i="193" s="1"/>
  <c r="E58" i="193" s="1"/>
  <c r="E74" i="193" s="1"/>
  <c r="E75" i="193" s="1"/>
  <c r="D74" i="37"/>
  <c r="D75" i="37" s="1"/>
  <c r="D74" i="74"/>
  <c r="D76" i="74" s="1"/>
  <c r="D64" i="47"/>
  <c r="D58" i="47" s="1"/>
  <c r="D74" i="153"/>
  <c r="D75" i="153" s="1"/>
  <c r="D64" i="35"/>
  <c r="D58" i="35" s="1"/>
  <c r="D64" i="186"/>
  <c r="D58" i="186" s="1"/>
  <c r="D64" i="148"/>
  <c r="D58" i="148" s="1"/>
  <c r="D64" i="152"/>
  <c r="D58" i="152" s="1"/>
  <c r="D64" i="197"/>
  <c r="D58" i="197" s="1"/>
  <c r="D64" i="210"/>
  <c r="D58" i="210" s="1"/>
  <c r="E58" i="210" s="1"/>
  <c r="D64" i="209"/>
  <c r="D58" i="209" s="1"/>
  <c r="E58" i="209" s="1"/>
  <c r="D64" i="195"/>
  <c r="D58" i="195" s="1"/>
  <c r="E58" i="195" s="1"/>
  <c r="D64" i="188"/>
  <c r="D58" i="188" s="1"/>
  <c r="E58" i="188" s="1"/>
  <c r="D64" i="42"/>
  <c r="D58" i="42" s="1"/>
  <c r="E58" i="42" s="1"/>
  <c r="D64" i="83"/>
  <c r="D58" i="83" s="1"/>
  <c r="D74" i="83" s="1"/>
  <c r="D75" i="83" s="1"/>
  <c r="D74" i="48"/>
  <c r="D75" i="48" s="1"/>
  <c r="D64" i="29"/>
  <c r="D58" i="29" s="1"/>
  <c r="E58" i="29" s="1"/>
  <c r="D64" i="49"/>
  <c r="D58" i="49" s="1"/>
  <c r="E58" i="49" s="1"/>
  <c r="D64" i="22"/>
  <c r="D58" i="22" s="1"/>
  <c r="D74" i="22" s="1"/>
  <c r="D75" i="22" s="1"/>
  <c r="G21" i="60"/>
  <c r="D74" i="61"/>
  <c r="D75" i="61" s="1"/>
  <c r="D75" i="9"/>
  <c r="D74" i="215"/>
  <c r="D75" i="215" s="1"/>
  <c r="E58" i="143"/>
  <c r="E64" i="143" s="1"/>
  <c r="D74" i="118"/>
  <c r="D75" i="118" s="1"/>
  <c r="D74" i="114"/>
  <c r="D75" i="114" s="1"/>
  <c r="E58" i="114"/>
  <c r="D74" i="36"/>
  <c r="D75" i="36" s="1"/>
  <c r="D74" i="55"/>
  <c r="D75" i="55" s="1"/>
  <c r="E58" i="55"/>
  <c r="E64" i="55" s="1"/>
  <c r="D74" i="112"/>
  <c r="D75" i="112" s="1"/>
  <c r="D74" i="156"/>
  <c r="D75" i="156" s="1"/>
  <c r="E64" i="93"/>
  <c r="E69" i="93"/>
  <c r="D73" i="93"/>
  <c r="D74" i="93" s="1"/>
  <c r="D75" i="93" s="1"/>
  <c r="E75" i="93" s="1"/>
  <c r="E73" i="67"/>
  <c r="E69" i="67"/>
  <c r="E72" i="67"/>
  <c r="E58" i="67"/>
  <c r="D74" i="121"/>
  <c r="D74" i="78"/>
  <c r="D75" i="78" s="1"/>
  <c r="E64" i="81"/>
  <c r="E69" i="81"/>
  <c r="E58" i="81"/>
  <c r="E72" i="81"/>
  <c r="E64" i="17"/>
  <c r="E58" i="17"/>
  <c r="E69" i="17"/>
  <c r="E73" i="17"/>
  <c r="D74" i="11"/>
  <c r="D75" i="11" s="1"/>
  <c r="D74" i="10"/>
  <c r="D75" i="10" s="1"/>
  <c r="D74" i="5"/>
  <c r="D75" i="5" s="1"/>
  <c r="E64" i="5"/>
  <c r="E58" i="5"/>
  <c r="E73" i="5"/>
  <c r="E72" i="5"/>
  <c r="E69" i="5"/>
  <c r="E58" i="4"/>
  <c r="E73" i="4"/>
  <c r="E69" i="4"/>
  <c r="E74" i="25"/>
  <c r="E75" i="25" s="1"/>
  <c r="E64" i="194"/>
  <c r="E58" i="194"/>
  <c r="E73" i="194"/>
  <c r="E69" i="194"/>
  <c r="E73" i="120"/>
  <c r="E72" i="120"/>
  <c r="E69" i="120"/>
  <c r="E64" i="120"/>
  <c r="E58" i="120"/>
  <c r="E72" i="69"/>
  <c r="E73" i="69"/>
  <c r="E58" i="69"/>
  <c r="E64" i="69"/>
  <c r="E71" i="69"/>
  <c r="E69" i="69"/>
  <c r="D74" i="30"/>
  <c r="D75" i="30" s="1"/>
  <c r="E58" i="30"/>
  <c r="D74" i="16"/>
  <c r="D75" i="16" s="1"/>
  <c r="E58" i="99"/>
  <c r="D74" i="206"/>
  <c r="D75" i="206" s="1"/>
  <c r="E73" i="81"/>
  <c r="E64" i="67"/>
  <c r="E58" i="93"/>
  <c r="E58" i="129"/>
  <c r="D74" i="25"/>
  <c r="D75" i="25" s="1"/>
  <c r="E73" i="177"/>
  <c r="E74" i="177" s="1"/>
  <c r="E75" i="177" s="1"/>
  <c r="E73" i="37"/>
  <c r="E73" i="71"/>
  <c r="D74" i="117"/>
  <c r="D75" i="117" s="1"/>
  <c r="E58" i="174"/>
  <c r="E58" i="165"/>
  <c r="D74" i="165"/>
  <c r="D75" i="165" s="1"/>
  <c r="E58" i="103"/>
  <c r="D74" i="103"/>
  <c r="D75" i="103" s="1"/>
  <c r="E73" i="217"/>
  <c r="E69" i="217"/>
  <c r="E64" i="217"/>
  <c r="E72" i="194"/>
  <c r="E58" i="75"/>
  <c r="D74" i="170"/>
  <c r="D75" i="170" s="1"/>
  <c r="D74" i="100"/>
  <c r="D75" i="100" s="1"/>
  <c r="E74" i="134"/>
  <c r="E75" i="134" s="1"/>
  <c r="E73" i="153"/>
  <c r="E74" i="153" s="1"/>
  <c r="E75" i="153" s="1"/>
  <c r="E73" i="73"/>
  <c r="E73" i="70"/>
  <c r="E74" i="70" s="1"/>
  <c r="E76" i="70" s="1"/>
  <c r="D74" i="216"/>
  <c r="D75" i="216" s="1"/>
  <c r="E73" i="20"/>
  <c r="E74" i="20" s="1"/>
  <c r="E75" i="20" s="1"/>
  <c r="E73" i="143"/>
  <c r="E73" i="55"/>
  <c r="E73" i="72"/>
  <c r="E74" i="72" s="1"/>
  <c r="E76" i="72" s="1"/>
  <c r="D74" i="26"/>
  <c r="D75" i="26" s="1"/>
  <c r="E58" i="164"/>
  <c r="D74" i="164"/>
  <c r="D75" i="164" s="1"/>
  <c r="E58" i="161"/>
  <c r="D74" i="161"/>
  <c r="D75" i="161" s="1"/>
  <c r="D74" i="94"/>
  <c r="D75" i="94" s="1"/>
  <c r="E73" i="110"/>
  <c r="E73" i="90"/>
  <c r="E73" i="74"/>
  <c r="E74" i="74" s="1"/>
  <c r="E76" i="74" s="1"/>
  <c r="E73" i="196"/>
  <c r="E74" i="196" s="1"/>
  <c r="E75" i="196" s="1"/>
  <c r="D74" i="79"/>
  <c r="D75" i="79" s="1"/>
  <c r="D74" i="146" l="1"/>
  <c r="D76" i="146" s="1"/>
  <c r="D74" i="205"/>
  <c r="D75" i="205" s="1"/>
  <c r="E58" i="88"/>
  <c r="D74" i="163"/>
  <c r="D75" i="163" s="1"/>
  <c r="D74" i="28"/>
  <c r="D75" i="28" s="1"/>
  <c r="E75" i="53"/>
  <c r="D75" i="53"/>
  <c r="E74" i="110"/>
  <c r="E75" i="110" s="1"/>
  <c r="E74" i="71"/>
  <c r="E76" i="71" s="1"/>
  <c r="E74" i="171"/>
  <c r="E75" i="171" s="1"/>
  <c r="D74" i="189"/>
  <c r="D75" i="189" s="1"/>
  <c r="D74" i="209"/>
  <c r="D75" i="209" s="1"/>
  <c r="E58" i="201"/>
  <c r="E64" i="201" s="1"/>
  <c r="E74" i="37"/>
  <c r="E75" i="37" s="1"/>
  <c r="D74" i="42"/>
  <c r="D75" i="42" s="1"/>
  <c r="D74" i="191"/>
  <c r="D75" i="191" s="1"/>
  <c r="D74" i="108"/>
  <c r="D76" i="108" s="1"/>
  <c r="E64" i="193"/>
  <c r="D74" i="49"/>
  <c r="D75" i="49" s="1"/>
  <c r="E58" i="212"/>
  <c r="D74" i="195"/>
  <c r="D75" i="195" s="1"/>
  <c r="D74" i="105"/>
  <c r="D75" i="105" s="1"/>
  <c r="E74" i="90"/>
  <c r="E75" i="90" s="1"/>
  <c r="D74" i="211"/>
  <c r="D76" i="211" s="1"/>
  <c r="E58" i="136"/>
  <c r="E58" i="89"/>
  <c r="E64" i="89" s="1"/>
  <c r="D74" i="202"/>
  <c r="D75" i="202" s="1"/>
  <c r="E58" i="24"/>
  <c r="E64" i="24" s="1"/>
  <c r="D74" i="171"/>
  <c r="D75" i="171" s="1"/>
  <c r="D74" i="64"/>
  <c r="D75" i="64" s="1"/>
  <c r="D74" i="175"/>
  <c r="D75" i="175" s="1"/>
  <c r="D74" i="214"/>
  <c r="D75" i="214" s="1"/>
  <c r="E58" i="167"/>
  <c r="E64" i="167" s="1"/>
  <c r="D74" i="77"/>
  <c r="D75" i="77" s="1"/>
  <c r="E72" i="9"/>
  <c r="E72" i="7"/>
  <c r="E71" i="1"/>
  <c r="D58" i="128"/>
  <c r="E58" i="128" s="1"/>
  <c r="E74" i="105"/>
  <c r="E75" i="105" s="1"/>
  <c r="E74" i="170"/>
  <c r="E75" i="170" s="1"/>
  <c r="E58" i="22"/>
  <c r="E72" i="78"/>
  <c r="E64" i="78"/>
  <c r="D74" i="145"/>
  <c r="D75" i="145" s="1"/>
  <c r="E58" i="102"/>
  <c r="E74" i="102" s="1"/>
  <c r="E75" i="102" s="1"/>
  <c r="D74" i="46"/>
  <c r="D75" i="46" s="1"/>
  <c r="E74" i="163"/>
  <c r="E75" i="163" s="1"/>
  <c r="E74" i="73"/>
  <c r="E76" i="73" s="1"/>
  <c r="E64" i="9"/>
  <c r="E73" i="9"/>
  <c r="E73" i="7"/>
  <c r="E74" i="95"/>
  <c r="E75" i="95" s="1"/>
  <c r="E75" i="94"/>
  <c r="E76" i="94"/>
  <c r="E72" i="121"/>
  <c r="E58" i="79"/>
  <c r="D74" i="17"/>
  <c r="D75" i="17" s="1"/>
  <c r="E58" i="78"/>
  <c r="E69" i="78"/>
  <c r="E73" i="78"/>
  <c r="E73" i="16"/>
  <c r="E73" i="1"/>
  <c r="D58" i="217"/>
  <c r="E71" i="84"/>
  <c r="E73" i="60"/>
  <c r="E69" i="60"/>
  <c r="E64" i="61"/>
  <c r="E69" i="58"/>
  <c r="E69" i="13"/>
  <c r="E73" i="13"/>
  <c r="D74" i="62"/>
  <c r="D75" i="62" s="1"/>
  <c r="E58" i="62"/>
  <c r="D74" i="40"/>
  <c r="D75" i="40" s="1"/>
  <c r="E58" i="40"/>
  <c r="E58" i="187"/>
  <c r="D74" i="187"/>
  <c r="D75" i="187" s="1"/>
  <c r="E64" i="175"/>
  <c r="E74" i="175"/>
  <c r="E75" i="175" s="1"/>
  <c r="D74" i="140"/>
  <c r="D75" i="140" s="1"/>
  <c r="E58" i="140"/>
  <c r="D74" i="113"/>
  <c r="D75" i="113" s="1"/>
  <c r="E58" i="113"/>
  <c r="E74" i="145"/>
  <c r="E75" i="145" s="1"/>
  <c r="E58" i="144"/>
  <c r="D74" i="144"/>
  <c r="D75" i="144" s="1"/>
  <c r="E64" i="100"/>
  <c r="E74" i="100"/>
  <c r="E75" i="100" s="1"/>
  <c r="D74" i="39"/>
  <c r="D75" i="39" s="1"/>
  <c r="E58" i="39"/>
  <c r="D74" i="130"/>
  <c r="D75" i="130" s="1"/>
  <c r="E58" i="130"/>
  <c r="E58" i="23"/>
  <c r="E64" i="23" s="1"/>
  <c r="E58" i="38"/>
  <c r="D74" i="38"/>
  <c r="D75" i="38" s="1"/>
  <c r="D74" i="166"/>
  <c r="D75" i="166" s="1"/>
  <c r="E58" i="166"/>
  <c r="E58" i="168"/>
  <c r="D74" i="168"/>
  <c r="D75" i="168" s="1"/>
  <c r="D74" i="193"/>
  <c r="D75" i="193" s="1"/>
  <c r="D74" i="92"/>
  <c r="D75" i="92" s="1"/>
  <c r="E58" i="92"/>
  <c r="D74" i="137"/>
  <c r="D75" i="137" s="1"/>
  <c r="E58" i="137"/>
  <c r="E58" i="138"/>
  <c r="D74" i="138"/>
  <c r="D75" i="138" s="1"/>
  <c r="D74" i="76"/>
  <c r="D75" i="76" s="1"/>
  <c r="E58" i="115"/>
  <c r="D74" i="115"/>
  <c r="D75" i="115" s="1"/>
  <c r="E64" i="77"/>
  <c r="E74" i="77"/>
  <c r="E75" i="77" s="1"/>
  <c r="E58" i="149"/>
  <c r="D74" i="149"/>
  <c r="D76" i="149" s="1"/>
  <c r="D74" i="56"/>
  <c r="D75" i="56" s="1"/>
  <c r="E58" i="43"/>
  <c r="D74" i="43"/>
  <c r="D75" i="43" s="1"/>
  <c r="D74" i="124"/>
  <c r="D75" i="124" s="1"/>
  <c r="E58" i="124"/>
  <c r="E58" i="34"/>
  <c r="D74" i="34"/>
  <c r="D75" i="34" s="1"/>
  <c r="E58" i="123"/>
  <c r="D74" i="123"/>
  <c r="D75" i="123" s="1"/>
  <c r="D74" i="106"/>
  <c r="D75" i="106" s="1"/>
  <c r="E58" i="106"/>
  <c r="D74" i="107"/>
  <c r="D76" i="107" s="1"/>
  <c r="E58" i="151"/>
  <c r="D74" i="151"/>
  <c r="D76" i="151" s="1"/>
  <c r="E58" i="96"/>
  <c r="D74" i="96"/>
  <c r="D76" i="96" s="1"/>
  <c r="E72" i="84"/>
  <c r="E64" i="84"/>
  <c r="E58" i="60"/>
  <c r="E73" i="61"/>
  <c r="E58" i="61"/>
  <c r="E58" i="58"/>
  <c r="E58" i="13"/>
  <c r="E64" i="13"/>
  <c r="E73" i="94"/>
  <c r="E64" i="79"/>
  <c r="E73" i="79"/>
  <c r="E69" i="79"/>
  <c r="E72" i="79"/>
  <c r="E64" i="58"/>
  <c r="E71" i="94"/>
  <c r="E58" i="27"/>
  <c r="E74" i="27" s="1"/>
  <c r="E76" i="27" s="1"/>
  <c r="E74" i="199"/>
  <c r="E75" i="199" s="1"/>
  <c r="D75" i="1"/>
  <c r="E58" i="94"/>
  <c r="D74" i="29"/>
  <c r="D75" i="29" s="1"/>
  <c r="E74" i="55"/>
  <c r="E75" i="55" s="1"/>
  <c r="D74" i="210"/>
  <c r="D75" i="210" s="1"/>
  <c r="E69" i="94"/>
  <c r="E74" i="143"/>
  <c r="E75" i="143" s="1"/>
  <c r="E58" i="147"/>
  <c r="E64" i="147" s="1"/>
  <c r="D74" i="169"/>
  <c r="D75" i="169" s="1"/>
  <c r="E69" i="61"/>
  <c r="E64" i="60"/>
  <c r="D74" i="128"/>
  <c r="D75" i="128" s="1"/>
  <c r="E64" i="94"/>
  <c r="E72" i="61"/>
  <c r="E64" i="63"/>
  <c r="E74" i="63"/>
  <c r="E75" i="63" s="1"/>
  <c r="E72" i="94"/>
  <c r="D75" i="23"/>
  <c r="D74" i="41"/>
  <c r="D75" i="41" s="1"/>
  <c r="E58" i="41"/>
  <c r="E58" i="101"/>
  <c r="D74" i="101"/>
  <c r="D75" i="101" s="1"/>
  <c r="E58" i="173"/>
  <c r="D74" i="173"/>
  <c r="D75" i="173" s="1"/>
  <c r="E58" i="104"/>
  <c r="D74" i="104"/>
  <c r="D75" i="104" s="1"/>
  <c r="D74" i="57"/>
  <c r="D75" i="57" s="1"/>
  <c r="E58" i="57"/>
  <c r="D74" i="33"/>
  <c r="D75" i="33" s="1"/>
  <c r="E58" i="33"/>
  <c r="E73" i="48"/>
  <c r="E73" i="122"/>
  <c r="E69" i="122"/>
  <c r="E58" i="122"/>
  <c r="E72" i="122"/>
  <c r="E64" i="122"/>
  <c r="E74" i="17"/>
  <c r="E75" i="17" s="1"/>
  <c r="E69" i="16"/>
  <c r="E72" i="16"/>
  <c r="E64" i="16"/>
  <c r="E58" i="16"/>
  <c r="E58" i="11"/>
  <c r="E69" i="10"/>
  <c r="E74" i="5"/>
  <c r="E75" i="5" s="1"/>
  <c r="E74" i="4"/>
  <c r="E75" i="4" s="1"/>
  <c r="E69" i="1"/>
  <c r="E72" i="13"/>
  <c r="E72" i="1"/>
  <c r="E58" i="1"/>
  <c r="E59" i="1"/>
  <c r="E58" i="109"/>
  <c r="D74" i="109"/>
  <c r="D76" i="109" s="1"/>
  <c r="D74" i="159"/>
  <c r="D76" i="159" s="1"/>
  <c r="E58" i="159"/>
  <c r="D74" i="176"/>
  <c r="D76" i="176" s="1"/>
  <c r="D74" i="135"/>
  <c r="D76" i="135" s="1"/>
  <c r="E58" i="135"/>
  <c r="D74" i="132"/>
  <c r="D76" i="132" s="1"/>
  <c r="E58" i="132"/>
  <c r="D74" i="133"/>
  <c r="D76" i="133" s="1"/>
  <c r="E58" i="133"/>
  <c r="D74" i="179"/>
  <c r="D76" i="179" s="1"/>
  <c r="E58" i="179"/>
  <c r="D74" i="142"/>
  <c r="D76" i="142" s="1"/>
  <c r="E58" i="142"/>
  <c r="E58" i="85"/>
  <c r="D74" i="85"/>
  <c r="D75" i="85" s="1"/>
  <c r="E64" i="169"/>
  <c r="E74" i="169"/>
  <c r="E75" i="169" s="1"/>
  <c r="E58" i="47"/>
  <c r="D74" i="47"/>
  <c r="D75" i="47" s="1"/>
  <c r="E58" i="35"/>
  <c r="D74" i="35"/>
  <c r="D75" i="35" s="1"/>
  <c r="E58" i="186"/>
  <c r="D74" i="186"/>
  <c r="D75" i="186" s="1"/>
  <c r="E58" i="148"/>
  <c r="D74" i="148"/>
  <c r="D76" i="148" s="1"/>
  <c r="E58" i="152"/>
  <c r="D74" i="152"/>
  <c r="D76" i="152" s="1"/>
  <c r="D74" i="197"/>
  <c r="D75" i="197" s="1"/>
  <c r="E58" i="197"/>
  <c r="D74" i="188"/>
  <c r="D75" i="188" s="1"/>
  <c r="E58" i="83"/>
  <c r="E74" i="83" s="1"/>
  <c r="E75" i="83" s="1"/>
  <c r="E58" i="48"/>
  <c r="E64" i="48" s="1"/>
  <c r="E73" i="84"/>
  <c r="E58" i="84"/>
  <c r="E69" i="84"/>
  <c r="E72" i="60"/>
  <c r="E72" i="58"/>
  <c r="E73" i="58"/>
  <c r="E58" i="9"/>
  <c r="E71" i="8"/>
  <c r="E73" i="8"/>
  <c r="E64" i="8"/>
  <c r="E58" i="8"/>
  <c r="D58" i="7"/>
  <c r="D74" i="7" s="1"/>
  <c r="E64" i="7"/>
  <c r="E64" i="108"/>
  <c r="E74" i="108"/>
  <c r="E76" i="108" s="1"/>
  <c r="E74" i="146"/>
  <c r="E76" i="146" s="1"/>
  <c r="E64" i="146"/>
  <c r="E64" i="88"/>
  <c r="E74" i="88"/>
  <c r="E75" i="88" s="1"/>
  <c r="E64" i="114"/>
  <c r="E74" i="114"/>
  <c r="E75" i="114" s="1"/>
  <c r="E64" i="76"/>
  <c r="E74" i="76"/>
  <c r="E75" i="76" s="1"/>
  <c r="E64" i="36"/>
  <c r="E74" i="36"/>
  <c r="E75" i="36" s="1"/>
  <c r="E64" i="189"/>
  <c r="E74" i="189"/>
  <c r="E75" i="189" s="1"/>
  <c r="E64" i="112"/>
  <c r="E74" i="112"/>
  <c r="E75" i="112" s="1"/>
  <c r="E74" i="156"/>
  <c r="E75" i="156" s="1"/>
  <c r="E73" i="93"/>
  <c r="E74" i="93" s="1"/>
  <c r="E74" i="67"/>
  <c r="E75" i="67" s="1"/>
  <c r="E74" i="120"/>
  <c r="E75" i="120" s="1"/>
  <c r="E73" i="121"/>
  <c r="E58" i="121"/>
  <c r="E64" i="121"/>
  <c r="E74" i="81"/>
  <c r="E75" i="81" s="1"/>
  <c r="E69" i="11"/>
  <c r="E73" i="11"/>
  <c r="E64" i="11"/>
  <c r="E72" i="11"/>
  <c r="E72" i="10"/>
  <c r="E73" i="10"/>
  <c r="E64" i="10"/>
  <c r="E58" i="10"/>
  <c r="E74" i="194"/>
  <c r="E75" i="194" s="1"/>
  <c r="E74" i="209"/>
  <c r="E75" i="209" s="1"/>
  <c r="E64" i="209"/>
  <c r="E64" i="26"/>
  <c r="E74" i="26"/>
  <c r="E75" i="26" s="1"/>
  <c r="E74" i="216"/>
  <c r="E75" i="216" s="1"/>
  <c r="E64" i="216"/>
  <c r="E74" i="103"/>
  <c r="E75" i="103" s="1"/>
  <c r="E64" i="103"/>
  <c r="E64" i="212"/>
  <c r="E74" i="212"/>
  <c r="E75" i="212" s="1"/>
  <c r="E74" i="202"/>
  <c r="E75" i="202" s="1"/>
  <c r="E64" i="202"/>
  <c r="E64" i="75"/>
  <c r="E74" i="75"/>
  <c r="E76" i="75" s="1"/>
  <c r="E64" i="129"/>
  <c r="E74" i="129"/>
  <c r="E75" i="129" s="1"/>
  <c r="E74" i="206"/>
  <c r="E75" i="206" s="1"/>
  <c r="E64" i="206"/>
  <c r="E74" i="30"/>
  <c r="E75" i="30" s="1"/>
  <c r="E64" i="30"/>
  <c r="E74" i="42"/>
  <c r="E75" i="42" s="1"/>
  <c r="E64" i="42"/>
  <c r="E64" i="49"/>
  <c r="E74" i="49"/>
  <c r="E75" i="49" s="1"/>
  <c r="E74" i="69"/>
  <c r="E75" i="69" s="1"/>
  <c r="E64" i="29"/>
  <c r="E74" i="29"/>
  <c r="E75" i="29" s="1"/>
  <c r="E74" i="164"/>
  <c r="E75" i="164" s="1"/>
  <c r="E64" i="164"/>
  <c r="E64" i="214"/>
  <c r="E74" i="214"/>
  <c r="E75" i="214" s="1"/>
  <c r="E74" i="174"/>
  <c r="E75" i="174" s="1"/>
  <c r="E64" i="174"/>
  <c r="E74" i="205"/>
  <c r="E75" i="205" s="1"/>
  <c r="E64" i="205"/>
  <c r="E74" i="211"/>
  <c r="E76" i="211" s="1"/>
  <c r="E64" i="211"/>
  <c r="E74" i="213"/>
  <c r="E75" i="213" s="1"/>
  <c r="E64" i="213"/>
  <c r="E64" i="161"/>
  <c r="E74" i="161"/>
  <c r="E75" i="161" s="1"/>
  <c r="E74" i="46"/>
  <c r="E75" i="46" s="1"/>
  <c r="E64" i="46"/>
  <c r="E64" i="64"/>
  <c r="E74" i="64"/>
  <c r="E75" i="64" s="1"/>
  <c r="E64" i="191"/>
  <c r="E74" i="191"/>
  <c r="E75" i="191" s="1"/>
  <c r="E74" i="119"/>
  <c r="E75" i="119" s="1"/>
  <c r="E74" i="165"/>
  <c r="E75" i="165" s="1"/>
  <c r="E64" i="165"/>
  <c r="E74" i="117"/>
  <c r="E75" i="117" s="1"/>
  <c r="E64" i="210"/>
  <c r="E74" i="210"/>
  <c r="E75" i="210" s="1"/>
  <c r="E74" i="99"/>
  <c r="E75" i="99" s="1"/>
  <c r="E64" i="99"/>
  <c r="E74" i="28"/>
  <c r="E75" i="28" s="1"/>
  <c r="E64" i="28"/>
  <c r="E74" i="201"/>
  <c r="E75" i="201" s="1"/>
  <c r="E64" i="136"/>
  <c r="E74" i="136"/>
  <c r="E75" i="136" s="1"/>
  <c r="E74" i="195"/>
  <c r="E75" i="195" s="1"/>
  <c r="E64" i="195"/>
  <c r="E74" i="22"/>
  <c r="E75" i="22" s="1"/>
  <c r="E64" i="22"/>
  <c r="E64" i="102" l="1"/>
  <c r="E74" i="89"/>
  <c r="E75" i="89" s="1"/>
  <c r="E74" i="167"/>
  <c r="E75" i="167" s="1"/>
  <c r="E74" i="24"/>
  <c r="E76" i="24" s="1"/>
  <c r="E74" i="121"/>
  <c r="E74" i="9"/>
  <c r="E75" i="9" s="1"/>
  <c r="E64" i="27"/>
  <c r="E74" i="23"/>
  <c r="E75" i="23" s="1"/>
  <c r="E64" i="83"/>
  <c r="E74" i="79"/>
  <c r="E75" i="79" s="1"/>
  <c r="E74" i="128"/>
  <c r="E75" i="128" s="1"/>
  <c r="E64" i="128"/>
  <c r="E74" i="147"/>
  <c r="E76" i="147" s="1"/>
  <c r="E74" i="78"/>
  <c r="E75" i="78" s="1"/>
  <c r="E74" i="61"/>
  <c r="E75" i="61" s="1"/>
  <c r="E74" i="94"/>
  <c r="E58" i="217"/>
  <c r="E74" i="217" s="1"/>
  <c r="E75" i="217" s="1"/>
  <c r="D74" i="217"/>
  <c r="D75" i="217" s="1"/>
  <c r="E64" i="62"/>
  <c r="E74" i="62"/>
  <c r="E75" i="62" s="1"/>
  <c r="E64" i="40"/>
  <c r="E74" i="40"/>
  <c r="E75" i="40" s="1"/>
  <c r="E64" i="187"/>
  <c r="E74" i="187"/>
  <c r="E75" i="187" s="1"/>
  <c r="E64" i="140"/>
  <c r="E74" i="140"/>
  <c r="E75" i="140" s="1"/>
  <c r="E64" i="113"/>
  <c r="E74" i="113"/>
  <c r="E75" i="113" s="1"/>
  <c r="E74" i="144"/>
  <c r="E75" i="144" s="1"/>
  <c r="E64" i="144"/>
  <c r="E64" i="39"/>
  <c r="E74" i="39"/>
  <c r="E75" i="39" s="1"/>
  <c r="E64" i="130"/>
  <c r="E74" i="130"/>
  <c r="E75" i="130" s="1"/>
  <c r="E64" i="38"/>
  <c r="E74" i="38"/>
  <c r="E75" i="38" s="1"/>
  <c r="E64" i="166"/>
  <c r="E74" i="166"/>
  <c r="E75" i="166" s="1"/>
  <c r="E74" i="168"/>
  <c r="E75" i="168" s="1"/>
  <c r="E64" i="168"/>
  <c r="E64" i="92"/>
  <c r="E74" i="92"/>
  <c r="E75" i="92" s="1"/>
  <c r="E64" i="137"/>
  <c r="E74" i="137"/>
  <c r="E75" i="137" s="1"/>
  <c r="E64" i="138"/>
  <c r="E74" i="138"/>
  <c r="E75" i="138" s="1"/>
  <c r="E64" i="115"/>
  <c r="E74" i="115"/>
  <c r="E75" i="115" s="1"/>
  <c r="E64" i="149"/>
  <c r="E74" i="149"/>
  <c r="E76" i="149" s="1"/>
  <c r="E74" i="56"/>
  <c r="E75" i="56" s="1"/>
  <c r="E64" i="43"/>
  <c r="E74" i="43"/>
  <c r="E75" i="43" s="1"/>
  <c r="E64" i="124"/>
  <c r="E74" i="124"/>
  <c r="E75" i="124" s="1"/>
  <c r="E64" i="34"/>
  <c r="E74" i="34"/>
  <c r="E75" i="34" s="1"/>
  <c r="E64" i="123"/>
  <c r="E74" i="123"/>
  <c r="E75" i="123" s="1"/>
  <c r="E64" i="106"/>
  <c r="E74" i="106"/>
  <c r="E75" i="106" s="1"/>
  <c r="E64" i="151"/>
  <c r="E74" i="151"/>
  <c r="E76" i="151" s="1"/>
  <c r="E74" i="96"/>
  <c r="E76" i="96" s="1"/>
  <c r="E64" i="96"/>
  <c r="E74" i="60"/>
  <c r="E75" i="60" s="1"/>
  <c r="E74" i="13"/>
  <c r="E75" i="13" s="1"/>
  <c r="E74" i="16"/>
  <c r="E75" i="16" s="1"/>
  <c r="E74" i="58"/>
  <c r="E75" i="58" s="1"/>
  <c r="E74" i="1"/>
  <c r="E75" i="1" s="1"/>
  <c r="E74" i="48"/>
  <c r="E75" i="48" s="1"/>
  <c r="E74" i="122"/>
  <c r="E75" i="122" s="1"/>
  <c r="E64" i="41"/>
  <c r="E74" i="41"/>
  <c r="E75" i="41" s="1"/>
  <c r="E64" i="101"/>
  <c r="E74" i="101"/>
  <c r="E75" i="101" s="1"/>
  <c r="E64" i="173"/>
  <c r="E74" i="173"/>
  <c r="E75" i="173" s="1"/>
  <c r="E64" i="104"/>
  <c r="E74" i="104"/>
  <c r="E75" i="104" s="1"/>
  <c r="E64" i="57"/>
  <c r="E74" i="57"/>
  <c r="E75" i="57" s="1"/>
  <c r="E64" i="33"/>
  <c r="E74" i="33"/>
  <c r="E75" i="33" s="1"/>
  <c r="E64" i="109"/>
  <c r="E74" i="109"/>
  <c r="E76" i="109" s="1"/>
  <c r="E64" i="159"/>
  <c r="E74" i="159"/>
  <c r="E76" i="159" s="1"/>
  <c r="E64" i="176"/>
  <c r="E74" i="176"/>
  <c r="E76" i="176" s="1"/>
  <c r="E64" i="135"/>
  <c r="E74" i="135"/>
  <c r="E76" i="135" s="1"/>
  <c r="E64" i="132"/>
  <c r="E74" i="132"/>
  <c r="E76" i="132" s="1"/>
  <c r="E64" i="133"/>
  <c r="E74" i="133"/>
  <c r="E76" i="133" s="1"/>
  <c r="E64" i="179"/>
  <c r="E74" i="179"/>
  <c r="E76" i="179" s="1"/>
  <c r="E64" i="142"/>
  <c r="E74" i="142"/>
  <c r="E76" i="142" s="1"/>
  <c r="E64" i="85"/>
  <c r="E74" i="85"/>
  <c r="E75" i="85" s="1"/>
  <c r="E64" i="47"/>
  <c r="E74" i="47"/>
  <c r="E75" i="47" s="1"/>
  <c r="E64" i="35"/>
  <c r="E74" i="35"/>
  <c r="E75" i="35" s="1"/>
  <c r="E74" i="186"/>
  <c r="E75" i="186" s="1"/>
  <c r="E64" i="186"/>
  <c r="E64" i="148"/>
  <c r="E74" i="148"/>
  <c r="E76" i="148" s="1"/>
  <c r="E64" i="152"/>
  <c r="E74" i="152"/>
  <c r="E76" i="152" s="1"/>
  <c r="E74" i="197"/>
  <c r="E75" i="197" s="1"/>
  <c r="E64" i="197"/>
  <c r="E64" i="188"/>
  <c r="E74" i="188"/>
  <c r="E75" i="188" s="1"/>
  <c r="E74" i="84"/>
  <c r="E75" i="84" s="1"/>
  <c r="E74" i="8"/>
  <c r="E75" i="8" s="1"/>
  <c r="E58" i="7"/>
  <c r="E74" i="7" s="1"/>
  <c r="E75" i="7" s="1"/>
  <c r="E74" i="11"/>
  <c r="E75" i="11" s="1"/>
  <c r="E74" i="10"/>
  <c r="E75" i="10" s="1"/>
  <c r="D75" i="7" l="1"/>
</calcChain>
</file>

<file path=xl/sharedStrings.xml><?xml version="1.0" encoding="utf-8"?>
<sst xmlns="http://schemas.openxmlformats.org/spreadsheetml/2006/main" count="22719" uniqueCount="286">
  <si>
    <t>PÓŁROCZNE SPRAWOZDANIE UBEZPIECZENIOWEGO FUNDUSZU KAPITAŁOWEGO</t>
  </si>
  <si>
    <t>TOWARZYSTWO UBEZPIECZEŃ  ALLIANZ ŻYCIE POLSKA S.A.</t>
  </si>
  <si>
    <t>(w zł)</t>
  </si>
  <si>
    <t xml:space="preserve">I.  </t>
  </si>
  <si>
    <t>1.</t>
  </si>
  <si>
    <t>lokaty</t>
  </si>
  <si>
    <t>2.</t>
  </si>
  <si>
    <t>środki pieniężne</t>
  </si>
  <si>
    <t>3.</t>
  </si>
  <si>
    <t>4.</t>
  </si>
  <si>
    <t>należności</t>
  </si>
  <si>
    <t>z tytułu transakcji zawartych na rynku finansowym</t>
  </si>
  <si>
    <t>pozostałe</t>
  </si>
  <si>
    <t xml:space="preserve">II.  </t>
  </si>
  <si>
    <t xml:space="preserve">pozostałe </t>
  </si>
  <si>
    <t>A.</t>
  </si>
  <si>
    <t>Aktywa netto funduszu na początek okresu sprawozdawczego</t>
  </si>
  <si>
    <t>B.</t>
  </si>
  <si>
    <t>I.</t>
  </si>
  <si>
    <t>Zwiększenia funduszu</t>
  </si>
  <si>
    <t>tytułem składek zwiększających wartość funduszu</t>
  </si>
  <si>
    <t>pozostałe przychody</t>
  </si>
  <si>
    <t>pozostałe zwiększenia</t>
  </si>
  <si>
    <t>II.</t>
  </si>
  <si>
    <t>Zmniejszenia funduszu</t>
  </si>
  <si>
    <t>tytułem wykupu</t>
  </si>
  <si>
    <t>tytułem wypłat pozostałych świadczeń ubezpieczeniowych</t>
  </si>
  <si>
    <t>tytułem opłat za ryzyko ubezpieczeniowe oraz innych opłat potrącanych z funduszu</t>
  </si>
  <si>
    <t>tytułem zwrotu składek ubezpieczeniowych</t>
  </si>
  <si>
    <t>5.</t>
  </si>
  <si>
    <t>tytułem opłat za zarządzanie funduszem oraz innych opłat tytułem administrowania funduszem</t>
  </si>
  <si>
    <t>6.</t>
  </si>
  <si>
    <t>pozostałe koszty</t>
  </si>
  <si>
    <t>7.</t>
  </si>
  <si>
    <t>pozostałe zmniejszenia</t>
  </si>
  <si>
    <t>C.</t>
  </si>
  <si>
    <t xml:space="preserve">Wynik netto z działalności inwestycyjnej </t>
  </si>
  <si>
    <t>D.</t>
  </si>
  <si>
    <t>Aktywa netto funduszu na koniec okresu sprawozdawczego</t>
  </si>
  <si>
    <t>Pozycja</t>
  </si>
  <si>
    <t>na początek okresu sprawozdawczego</t>
  </si>
  <si>
    <t>na koniec okresu sprawozdawczego</t>
  </si>
  <si>
    <t xml:space="preserve">LOKATY 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</si>
  <si>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</si>
  <si>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</si>
  <si>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</si>
  <si>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 o stałej stopie dochodu</t>
  </si>
  <si>
    <t>akcje</t>
  </si>
  <si>
    <t>udziały</t>
  </si>
  <si>
    <t>jednostki uczestnictwa i certyfikaty inwestycyjne w funduszach inwestycyjnych</t>
  </si>
  <si>
    <t>8.</t>
  </si>
  <si>
    <t>inne papiery wartościowe o zmiennej kwocie dochodu</t>
  </si>
  <si>
    <t>9.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</si>
  <si>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</si>
  <si>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</si>
  <si>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</si>
  <si>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</si>
  <si>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</si>
  <si>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</si>
  <si>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</si>
  <si>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III.</t>
  </si>
  <si>
    <t>Środki pieniężne</t>
  </si>
  <si>
    <t>IV.</t>
  </si>
  <si>
    <t>Należności</t>
  </si>
  <si>
    <t>V.</t>
  </si>
  <si>
    <t>Zobowiązania</t>
  </si>
  <si>
    <t>Aktywa netto (w tym)</t>
  </si>
  <si>
    <t>krajowe</t>
  </si>
  <si>
    <t>Fundusz Konserwatywny</t>
  </si>
  <si>
    <t>Fundusz Zrównoważony</t>
  </si>
  <si>
    <t>Fundusz Aktywny</t>
  </si>
  <si>
    <t>Fundusz Międzynarodowy</t>
  </si>
  <si>
    <t>Fundusz Azjatycki</t>
  </si>
  <si>
    <t>Aktywny - Surowce i Nowe Gospodarki</t>
  </si>
  <si>
    <t>Zabezpieczony - Rynku Polskiego</t>
  </si>
  <si>
    <t>Zabezpieczony - Europy Wschodniej</t>
  </si>
  <si>
    <t>Zabezpieczony - Dalekiego Wschodu</t>
  </si>
  <si>
    <t>Millenium Master I</t>
  </si>
  <si>
    <t>Millenium Master II</t>
  </si>
  <si>
    <t>Millenium Master III</t>
  </si>
  <si>
    <t>Millenium Master IV</t>
  </si>
  <si>
    <t>Millenium Master V</t>
  </si>
  <si>
    <t>Millenium Master VI</t>
  </si>
  <si>
    <t>Millenium Master VII</t>
  </si>
  <si>
    <t>Fundusz Gwarantowany</t>
  </si>
  <si>
    <t>Fundusz Stabilnego Wzrostu</t>
  </si>
  <si>
    <t>Fundusz Dynamiczny</t>
  </si>
  <si>
    <t>Fundusz Aktywnej Alokacji</t>
  </si>
  <si>
    <t>Fundusz Akcji Plus</t>
  </si>
  <si>
    <t>Fundusz Akcji Małych i Średnich Spółek</t>
  </si>
  <si>
    <t>Fundusz Selektywny</t>
  </si>
  <si>
    <t>Fundusz Polskich Obligacji Skarbowych</t>
  </si>
  <si>
    <t>INFORMACJE DODATKOWE</t>
  </si>
  <si>
    <t xml:space="preserve">DO SPRAWOZDANIA PÓŁROCZNEGO </t>
  </si>
  <si>
    <t>FUNDUSZY KAPITAŁOWYCH</t>
  </si>
  <si>
    <t>TU ALLIANZ ŻYCIE POLSKA  S.A.</t>
  </si>
  <si>
    <t xml:space="preserve">Przypis składki brutto </t>
  </si>
  <si>
    <t xml:space="preserve">Potrącenia/ opłaty </t>
  </si>
  <si>
    <t xml:space="preserve">Składka netto </t>
  </si>
  <si>
    <t>Fundusz Pieniężny</t>
  </si>
  <si>
    <t>Strategii MultiObligacyjnych</t>
  </si>
  <si>
    <t>Fundusz Akcji Globalnych</t>
  </si>
  <si>
    <t>Fundusz Obligacji Globalnych</t>
  </si>
  <si>
    <t>WARTOŚĆ AKTYWÓW NETTO FUNDUSZU</t>
  </si>
  <si>
    <t xml:space="preserve">II. </t>
  </si>
  <si>
    <t>ZMIANY WARTOŚCI AKTYWÓW NETTO FUNDUSZU</t>
  </si>
  <si>
    <t>3.1.</t>
  </si>
  <si>
    <t>3.2.</t>
  </si>
  <si>
    <t>wobec ubezpieczających, ubezpieczonych lub uprawnionych z umów ubezpieczenia</t>
  </si>
  <si>
    <t>Aktywa</t>
  </si>
  <si>
    <t>III.  Aktywa netto (I-II)</t>
  </si>
  <si>
    <t>Wynik netto z działalności operacyjnej (I-II)</t>
  </si>
  <si>
    <t>Liczba jednostek uczestnictwa funduszu:</t>
  </si>
  <si>
    <t>Wartość jednostki uczestnictwa funduszu:</t>
  </si>
  <si>
    <t>minimalna wartość jednostki uczestnictwa funduszu w okresie sprawozdawczym</t>
  </si>
  <si>
    <t>maksymalna wartość jednostki uczestnictwa funduszu w okresie sprawozdawczym</t>
  </si>
  <si>
    <t xml:space="preserve">     ZESTAWIENIE AKTYWÓW NETTO FUNDUSZU</t>
  </si>
  <si>
    <t>Udział w aktywach       netto funduszu (w %)</t>
  </si>
  <si>
    <t>instrumenty pochodne</t>
  </si>
  <si>
    <t>zagraniczne - państwa UE</t>
  </si>
  <si>
    <t>zagraniczne - państwa poza UE</t>
  </si>
  <si>
    <t>LICZBA I WARTOŚĆ JEDNOSTEK ROZRACHUNKOWYCH uczestnictwa funduszu</t>
  </si>
  <si>
    <t>Wartość bilansowa (w zł)</t>
  </si>
  <si>
    <t>-</t>
  </si>
  <si>
    <t>Fundusz Energetyczny</t>
  </si>
  <si>
    <t>31-12-2018</t>
  </si>
  <si>
    <t>TOWARZYSTWO UBEZPIECZEŃ  ALLIANZ ŻYCIE POLSKA SA</t>
  </si>
  <si>
    <t>I</t>
  </si>
  <si>
    <t xml:space="preserve">I  </t>
  </si>
  <si>
    <t xml:space="preserve">II  </t>
  </si>
  <si>
    <t>III  Aktywa netto (I-II)</t>
  </si>
  <si>
    <t xml:space="preserve">II </t>
  </si>
  <si>
    <t>A</t>
  </si>
  <si>
    <t>B</t>
  </si>
  <si>
    <t>II</t>
  </si>
  <si>
    <t>C</t>
  </si>
  <si>
    <t>D</t>
  </si>
  <si>
    <t>III</t>
  </si>
  <si>
    <t>IV</t>
  </si>
  <si>
    <t>V</t>
  </si>
  <si>
    <t>31-122018</t>
  </si>
  <si>
    <t xml:space="preserve">Fundusz Obligacji </t>
  </si>
  <si>
    <t>Allianz Portfel Aktywnej Alokacji</t>
  </si>
  <si>
    <t>Allianz Portfel Dynamiczny</t>
  </si>
  <si>
    <t>Allianz Portfel Stabilnego Wzrostu</t>
  </si>
  <si>
    <t>Allianz Portfel Akcji Rynków Rozwiniętych</t>
  </si>
  <si>
    <t>Allianz Portfel Akcji Rynków Wschodzących</t>
  </si>
  <si>
    <t>Allianz Portfel Obligacji Zagranicznych</t>
  </si>
  <si>
    <t>Allianz Portfel Obligacji Obniżonego Ryzyka</t>
  </si>
  <si>
    <t>Allianz Portfel Strategicznej Alokacji</t>
  </si>
  <si>
    <t>Allianz Stabilnego Wzrostu</t>
  </si>
  <si>
    <t>Allianz Obligacji Plus</t>
  </si>
  <si>
    <t xml:space="preserve">Allianz Aktywnej Alokacji </t>
  </si>
  <si>
    <t>Allianz Akcji Małych i Średnich Spółek</t>
  </si>
  <si>
    <t>Allianz Konserwatywny</t>
  </si>
  <si>
    <t>Allianz Polskich Obligacji Skarbowych</t>
  </si>
  <si>
    <t>Allianz Selektywny</t>
  </si>
  <si>
    <t>Allianz Akcji Globalnych</t>
  </si>
  <si>
    <t>Allianz Surowców i Energii</t>
  </si>
  <si>
    <t>Allianz Akcji Rynków Wschodzących</t>
  </si>
  <si>
    <t>Allianz Dynamiczna Multistrategia</t>
  </si>
  <si>
    <t>Allianz Defensywna Multistrategia</t>
  </si>
  <si>
    <t>Allianz Zbalansowana Multistrategia</t>
  </si>
  <si>
    <t>Allianz Globalny Stabilnego Dochodu</t>
  </si>
  <si>
    <t>Allianz Obligacji Globalnych</t>
  </si>
  <si>
    <t>Allianz Altus Absolutnej Stopy Zwrotu Dłużny</t>
  </si>
  <si>
    <t>Allianz Aviva Dłużnych Papierów Korporacyjnych</t>
  </si>
  <si>
    <t>Allianz Franklin European Dividend Fund (PLN Hedged)</t>
  </si>
  <si>
    <t>Allianz Franklin Global Fundamental Strategies Fund (PLN Hedged)</t>
  </si>
  <si>
    <t>Allianz Franklin U.S. Opportunities Fund (PLN Hedged)</t>
  </si>
  <si>
    <t>Allianz Goldman Sachs Emerging Markets Debt Portfolio A (Acc) (PLN) Hedged</t>
  </si>
  <si>
    <t>Allianz Goldman Sachs Global Strategic Macro Bond Portfolio A (Acc) (PLN) Hedged</t>
  </si>
  <si>
    <t>Allianz Investor Akcji</t>
  </si>
  <si>
    <t>Allianz Investor Akcji Spółek Dywidendowych</t>
  </si>
  <si>
    <t>Allianz Investor TOP 25 Małych Spółek</t>
  </si>
  <si>
    <t>Allianz Investor Zrównoważony</t>
  </si>
  <si>
    <t>Allianz Investor Ameryka Łacińska</t>
  </si>
  <si>
    <t>Allianz Investor BRIC</t>
  </si>
  <si>
    <t>Allianz Investor Gold</t>
  </si>
  <si>
    <t>Allianz Investor Indie i Chiny</t>
  </si>
  <si>
    <t>Allianz Investor Obligacji Korporacyjnych</t>
  </si>
  <si>
    <t>Allianz Investor Zabezpieczenia Emerytalnego</t>
  </si>
  <si>
    <t>Allianz JPM Global Healthcare Fund (PLN Hedged)</t>
  </si>
  <si>
    <t>Allianz JPM Global Strategic Bond (PLN Hedged)</t>
  </si>
  <si>
    <t>Allianz ESALIENS Akcji</t>
  </si>
  <si>
    <t>Allianz ESALIENS Obligacji</t>
  </si>
  <si>
    <t>Allianz ESALIENS Strateg</t>
  </si>
  <si>
    <t xml:space="preserve">Allianz NN Akcji </t>
  </si>
  <si>
    <t>Allianz NN Obligacji</t>
  </si>
  <si>
    <t>Allianz NN Średnich i Małych Spółek</t>
  </si>
  <si>
    <t>Allianz NN Europejski Spółek Dywidendowych</t>
  </si>
  <si>
    <t>Allianz NN Globalny Długu Korporacyjnego</t>
  </si>
  <si>
    <t>Allianz NN Globalny Spółek Dywidendowych</t>
  </si>
  <si>
    <t>Allianz NN Japonia</t>
  </si>
  <si>
    <t>Allianz NN Nowej Azji</t>
  </si>
  <si>
    <t>Allianz NN Obligacji Rynków Wschodzących</t>
  </si>
  <si>
    <t>Allianz NN Spółek Dywidendowych USA</t>
  </si>
  <si>
    <t>Allianz NN Stabilny Globalnej Alokacji</t>
  </si>
  <si>
    <t>Allianz NN Spółek Dywidendowych Rynków Wschodzących</t>
  </si>
  <si>
    <t>Allianz Noble Fund Akcji Małych i Średnich Spółek</t>
  </si>
  <si>
    <t>Allianz Noble Fund Global Return</t>
  </si>
  <si>
    <t>Allianz Pekao Akcji Rynków Wschodzących</t>
  </si>
  <si>
    <t>Allianz Pekao Alternatywny Globalnego Dochodu</t>
  </si>
  <si>
    <t>Allianz Pekao Obligacji Strategicznych</t>
  </si>
  <si>
    <t>Allianz Pekao Wzrostu i Dochodu Rynku Europejskiego</t>
  </si>
  <si>
    <t>Allianz Pekao Surowców i Energii</t>
  </si>
  <si>
    <t>Allianz Pekao Akcji Polskich</t>
  </si>
  <si>
    <t>Allianz Pekao Dynamicznych Spółek</t>
  </si>
  <si>
    <t>Allianz Pekao Obligacji Plus</t>
  </si>
  <si>
    <t>Allianz Pekao Stabilnego Inwestowania</t>
  </si>
  <si>
    <t>Allianz Pekao Obligacji - Dynamiczna Alokacja 2</t>
  </si>
  <si>
    <t>Allianz Pekao Akcji - Aktywna Selekcja</t>
  </si>
  <si>
    <t>Allianz Pekao Akcji Europejskich</t>
  </si>
  <si>
    <t>Allianz Pekao Strategii Globalnej</t>
  </si>
  <si>
    <t>Allianz Pekao Akcji Małych i Średnich Spółek Rynków Rozwiniętych</t>
  </si>
  <si>
    <t>Allianz Pekao Obligacji i Dochodu</t>
  </si>
  <si>
    <t>Allianz PKO Akcji Nowa Europa</t>
  </si>
  <si>
    <t>Allianz PKO Obligacji Długoterminowych</t>
  </si>
  <si>
    <t>Allianz PKO Stabilnego Wzrostu</t>
  </si>
  <si>
    <t>Allianz PKO Zrównoważony</t>
  </si>
  <si>
    <t>Allianz PZU Akcji Spółek Dywidendowych</t>
  </si>
  <si>
    <t>Allianz PZU Akcji Krakowiak</t>
  </si>
  <si>
    <t>Allianz PZU Akcji Małych i Średnich Spółek</t>
  </si>
  <si>
    <t>Allianz PZU Medyczny</t>
  </si>
  <si>
    <t>Allianz PZU Zrównoważony</t>
  </si>
  <si>
    <t>Allianz PZU Akcji Rynków Rozwiniętych</t>
  </si>
  <si>
    <t>Allianz PZU Papierów Dłużnych POLONEZ</t>
  </si>
  <si>
    <t>Allianz Quercus Agresywny</t>
  </si>
  <si>
    <t>Allianz Quercus Ochrony Kapitału</t>
  </si>
  <si>
    <t>Allianz Quercus Global Balanced</t>
  </si>
  <si>
    <t>Allianz Schroder Asian Convertible Bond Fund (PLN Hedged)</t>
  </si>
  <si>
    <t>Allianz Schroder Asian Opportunities (PLN Hedged)</t>
  </si>
  <si>
    <t>Allianz Schroder Emerging Markets Debt Absolute Return (PLN Hedged)</t>
  </si>
  <si>
    <t>Allianz Schroder EURO Equity Fund (PLN Hedged)</t>
  </si>
  <si>
    <t>Allianz Schroder Frontier Markets Equity Fund (PLN Hedged)</t>
  </si>
  <si>
    <t>Allianz Schroder Global Diversified Growth Fund (PLN Hedged)</t>
  </si>
  <si>
    <t>Allianz Schroder Global High Income Bond Fund (PLN Hedged)</t>
  </si>
  <si>
    <t>Allianz Skarbiec Obligacji Wysokiego Dochodu</t>
  </si>
  <si>
    <t>Allianz Skarbiec Małych i Średnich Spółek</t>
  </si>
  <si>
    <t>Allianz Skarbiec Globalny Małych i Średnich Spółek</t>
  </si>
  <si>
    <t>Allianz Skarbiec Spółek Wzrostowych</t>
  </si>
  <si>
    <t>Allianz Skarbiec Akcja</t>
  </si>
  <si>
    <t>Allianz Skarbiec Top Brands</t>
  </si>
  <si>
    <t>Allianz Templeton Global Bond Fund (PLN Hedged)</t>
  </si>
  <si>
    <t>Allianz Templeton Global Total Return Fund (PLN Hedged)</t>
  </si>
  <si>
    <t>Allianz Templeton Latin America Fund</t>
  </si>
  <si>
    <t>Allianz Altus Absolutnej Stopy Zwrotu Rynku Polskiego C</t>
  </si>
  <si>
    <t>Allianz Franklin Natural Resources Fund N Hedged (Acc) (PLN)</t>
  </si>
  <si>
    <t xml:space="preserve">Allianz Investor Dochodowy </t>
  </si>
  <si>
    <t>Allianz Investor Turcja</t>
  </si>
  <si>
    <t>Allianz Investor Oszczędnościowy</t>
  </si>
  <si>
    <t>Allianz Investor Akcji Spółek Wzrostowych</t>
  </si>
  <si>
    <t>Allianz Ipopema Akcji</t>
  </si>
  <si>
    <t>Allianz ESALIENS Oszczędnościowy</t>
  </si>
  <si>
    <t xml:space="preserve">Allianz NN Polski Odpowiedzialnego Inwestowania </t>
  </si>
  <si>
    <t>Allianz NN Depozytowy</t>
  </si>
  <si>
    <t>Allianz Noble Fund Akcji</t>
  </si>
  <si>
    <t>Allianz Pekao Spokojna Inwestycja</t>
  </si>
  <si>
    <t>Allianz Pekao Konserwatywny</t>
  </si>
  <si>
    <t>Allianz Pekao Konserwatywny Plus</t>
  </si>
  <si>
    <t>Allianz Pekao Akcji Amerykańskich</t>
  </si>
  <si>
    <t>Allianz Quercus LEV</t>
  </si>
  <si>
    <t>Allianz Quercus Rosja</t>
  </si>
  <si>
    <t>Allianz Quercus Short</t>
  </si>
  <si>
    <t>Allianz Quercus Stabilny</t>
  </si>
  <si>
    <t>Allianz Skarbiec Konserwatywny</t>
  </si>
  <si>
    <t>Allianz Templeton Asian Growth Fund N Hedged (Acc) (PLN)</t>
  </si>
  <si>
    <t>SPORZĄDZONE NA DZIEŃ 31-12-2019</t>
  </si>
  <si>
    <t>31-12-2019</t>
  </si>
  <si>
    <t>Allianz Generali Akcje: Daleki Wschód</t>
  </si>
  <si>
    <t>Allianz Generali Obligacje Aktywny</t>
  </si>
  <si>
    <t>Allianz Generali Obligacje: Nowa Europa</t>
  </si>
  <si>
    <t>Allianz Generali Akcje: Nowa Europa</t>
  </si>
  <si>
    <t>Allianz Generali Akcje Małych i Średnich Spółek</t>
  </si>
  <si>
    <t>Allianz Generali Akcje Wzrostu</t>
  </si>
  <si>
    <t>Allianz Generali Korona Akcje</t>
  </si>
  <si>
    <t>Allianz Generali Korona Obligacje</t>
  </si>
  <si>
    <t>Allianz Generali Korona Dochodowy</t>
  </si>
  <si>
    <t>Allianz Generali Korona Zrównoważony</t>
  </si>
  <si>
    <t>Allianz Generali Oszczędnościowy</t>
  </si>
  <si>
    <t>Allianz Generali Stabilny Wzrost</t>
  </si>
  <si>
    <t>Allianz Generali Globalnych Akcji Wzrostu</t>
  </si>
  <si>
    <t>Allianz Akcji</t>
  </si>
  <si>
    <t>NA DZIEŃ 31-12-2019</t>
  </si>
  <si>
    <t>Allianz JPM Emerging Markets Opportunities Fund (PLN)</t>
  </si>
  <si>
    <t>Allianz JPM Global Macro Opportunities Fund D (PLN)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</si>
</sst>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z_ł_-;\-* #,##0.00\ _z_ł_-;_-* &quot;-&quot;??\ _z_ł_-;_-@_-"/>
    <numFmt numFmtId="164" formatCode="#,##0.0000"/>
    <numFmt numFmtId="165" formatCode="0.0000"/>
    <numFmt numFmtId="166" formatCode="#,##0.0000_ ;\-#,##0.0000\ "/>
    <numFmt numFmtId="167" formatCode="#,##0.00000"/>
  </numFmts>
  <fonts count="6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 CE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name val="Arial"/>
      <family val="2"/>
      <charset val="238"/>
    </font>
    <font>
      <sz val="8"/>
      <color rgb="FF0070C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</font>
    <font>
      <sz val="10"/>
      <name val="Czcionka tekstu podstawowego"/>
      <family val="2"/>
      <charset val="238"/>
    </font>
    <font>
      <sz val="8"/>
      <color rgb="FFFF0000"/>
      <name val="Arial"/>
      <family val="2"/>
      <charset val="23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7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/>
    <xf numFmtId="0" fontId="22" fillId="20" borderId="1" applyNumberFormat="0" applyAlignment="0" applyProtection="0"/>
    <xf numFmtId="9" fontId="3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27" fillId="3" borderId="0" applyNumberFormat="0" applyBorder="0" applyAlignment="0" applyProtection="0"/>
    <xf numFmtId="0" fontId="33" fillId="0" borderId="0"/>
    <xf numFmtId="0" fontId="21" fillId="23" borderId="66" applyNumberFormat="0" applyFont="0" applyAlignment="0" applyProtection="0"/>
    <xf numFmtId="0" fontId="23" fillId="0" borderId="65" applyNumberFormat="0" applyFill="0" applyAlignment="0" applyProtection="0"/>
    <xf numFmtId="0" fontId="22" fillId="20" borderId="63" applyNumberFormat="0" applyAlignment="0" applyProtection="0"/>
    <xf numFmtId="0" fontId="13" fillId="20" borderId="64" applyNumberFormat="0" applyAlignment="0" applyProtection="0"/>
    <xf numFmtId="0" fontId="12" fillId="7" borderId="63" applyNumberFormat="0" applyAlignment="0" applyProtection="0"/>
    <xf numFmtId="0" fontId="3" fillId="0" borderId="0"/>
    <xf numFmtId="0" fontId="21" fillId="23" borderId="70" applyNumberFormat="0" applyFont="0" applyAlignment="0" applyProtection="0"/>
    <xf numFmtId="0" fontId="23" fillId="0" borderId="69" applyNumberFormat="0" applyFill="0" applyAlignment="0" applyProtection="0"/>
    <xf numFmtId="0" fontId="22" fillId="20" borderId="67" applyNumberFormat="0" applyAlignment="0" applyProtection="0"/>
    <xf numFmtId="0" fontId="13" fillId="20" borderId="68" applyNumberFormat="0" applyAlignment="0" applyProtection="0"/>
    <xf numFmtId="0" fontId="12" fillId="7" borderId="67" applyNumberFormat="0" applyAlignment="0" applyProtection="0"/>
    <xf numFmtId="0" fontId="35" fillId="0" borderId="0"/>
    <xf numFmtId="0" fontId="36" fillId="33" borderId="0" applyNumberFormat="0" applyBorder="0" applyAlignment="0" applyProtection="0"/>
    <xf numFmtId="0" fontId="36" fillId="37" borderId="0" applyNumberFormat="0" applyBorder="0" applyAlignment="0" applyProtection="0"/>
    <xf numFmtId="0" fontId="36" fillId="41" borderId="0" applyNumberFormat="0" applyBorder="0" applyAlignment="0" applyProtection="0"/>
    <xf numFmtId="0" fontId="36" fillId="45" borderId="0" applyNumberFormat="0" applyBorder="0" applyAlignment="0" applyProtection="0"/>
    <xf numFmtId="0" fontId="36" fillId="49" borderId="0" applyNumberFormat="0" applyBorder="0" applyAlignment="0" applyProtection="0"/>
    <xf numFmtId="0" fontId="36" fillId="53" borderId="0" applyNumberFormat="0" applyBorder="0" applyAlignment="0" applyProtection="0"/>
    <xf numFmtId="0" fontId="36" fillId="34" borderId="0" applyNumberFormat="0" applyBorder="0" applyAlignment="0" applyProtection="0"/>
    <xf numFmtId="0" fontId="36" fillId="38" borderId="0" applyNumberFormat="0" applyBorder="0" applyAlignment="0" applyProtection="0"/>
    <xf numFmtId="0" fontId="36" fillId="42" borderId="0" applyNumberFormat="0" applyBorder="0" applyAlignment="0" applyProtection="0"/>
    <xf numFmtId="0" fontId="36" fillId="46" borderId="0" applyNumberFormat="0" applyBorder="0" applyAlignment="0" applyProtection="0"/>
    <xf numFmtId="0" fontId="36" fillId="50" borderId="0" applyNumberFormat="0" applyBorder="0" applyAlignment="0" applyProtection="0"/>
    <xf numFmtId="0" fontId="36" fillId="54" borderId="0" applyNumberFormat="0" applyBorder="0" applyAlignment="0" applyProtection="0"/>
    <xf numFmtId="0" fontId="37" fillId="35" borderId="0" applyNumberFormat="0" applyBorder="0" applyAlignment="0" applyProtection="0"/>
    <xf numFmtId="0" fontId="37" fillId="39" borderId="0" applyNumberFormat="0" applyBorder="0" applyAlignment="0" applyProtection="0"/>
    <xf numFmtId="0" fontId="37" fillId="43" borderId="0" applyNumberFormat="0" applyBorder="0" applyAlignment="0" applyProtection="0"/>
    <xf numFmtId="0" fontId="37" fillId="47" borderId="0" applyNumberFormat="0" applyBorder="0" applyAlignment="0" applyProtection="0"/>
    <xf numFmtId="0" fontId="37" fillId="51" borderId="0" applyNumberFormat="0" applyBorder="0" applyAlignment="0" applyProtection="0"/>
    <xf numFmtId="0" fontId="37" fillId="55" borderId="0" applyNumberFormat="0" applyBorder="0" applyAlignment="0" applyProtection="0"/>
    <xf numFmtId="0" fontId="37" fillId="32" borderId="0" applyNumberFormat="0" applyBorder="0" applyAlignment="0" applyProtection="0"/>
    <xf numFmtId="0" fontId="37" fillId="36" borderId="0" applyNumberFormat="0" applyBorder="0" applyAlignment="0" applyProtection="0"/>
    <xf numFmtId="0" fontId="37" fillId="40" borderId="0" applyNumberFormat="0" applyBorder="0" applyAlignment="0" applyProtection="0"/>
    <xf numFmtId="0" fontId="37" fillId="44" borderId="0" applyNumberFormat="0" applyBorder="0" applyAlignment="0" applyProtection="0"/>
    <xf numFmtId="0" fontId="37" fillId="48" borderId="0" applyNumberFormat="0" applyBorder="0" applyAlignment="0" applyProtection="0"/>
    <xf numFmtId="0" fontId="37" fillId="52" borderId="0" applyNumberFormat="0" applyBorder="0" applyAlignment="0" applyProtection="0"/>
    <xf numFmtId="0" fontId="38" fillId="26" borderId="0" applyNumberFormat="0" applyBorder="0" applyAlignment="0" applyProtection="0"/>
    <xf numFmtId="0" fontId="39" fillId="29" borderId="74" applyNumberFormat="0" applyAlignment="0" applyProtection="0"/>
    <xf numFmtId="0" fontId="40" fillId="30" borderId="77" applyNumberFormat="0" applyAlignment="0" applyProtection="0"/>
    <xf numFmtId="0" fontId="41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43" fillId="0" borderId="71" applyNumberFormat="0" applyFill="0" applyAlignment="0" applyProtection="0"/>
    <xf numFmtId="0" fontId="44" fillId="0" borderId="72" applyNumberFormat="0" applyFill="0" applyAlignment="0" applyProtection="0"/>
    <xf numFmtId="0" fontId="45" fillId="0" borderId="7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74" applyNumberFormat="0" applyAlignment="0" applyProtection="0"/>
    <xf numFmtId="0" fontId="47" fillId="0" borderId="76" applyNumberFormat="0" applyFill="0" applyAlignment="0" applyProtection="0"/>
    <xf numFmtId="0" fontId="48" fillId="27" borderId="0" applyNumberFormat="0" applyBorder="0" applyAlignment="0" applyProtection="0"/>
    <xf numFmtId="0" fontId="35" fillId="31" borderId="78" applyNumberFormat="0" applyFont="0" applyAlignment="0" applyProtection="0"/>
    <xf numFmtId="0" fontId="49" fillId="29" borderId="75" applyNumberFormat="0" applyAlignment="0" applyProtection="0"/>
    <xf numFmtId="0" fontId="50" fillId="0" borderId="0" applyNumberFormat="0" applyFill="0" applyBorder="0" applyAlignment="0" applyProtection="0"/>
    <xf numFmtId="0" fontId="51" fillId="0" borderId="7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/>
    <xf numFmtId="0" fontId="53" fillId="31" borderId="78" applyNumberFormat="0" applyFont="0" applyAlignment="0" applyProtection="0"/>
    <xf numFmtId="0" fontId="3" fillId="31" borderId="78" applyNumberFormat="0" applyFont="0" applyAlignment="0" applyProtection="0"/>
    <xf numFmtId="0" fontId="56" fillId="0" borderId="0"/>
    <xf numFmtId="0" fontId="3" fillId="0" borderId="0"/>
    <xf numFmtId="0" fontId="12" fillId="7" borderId="89" applyNumberFormat="0" applyAlignment="0" applyProtection="0"/>
    <xf numFmtId="0" fontId="13" fillId="20" borderId="90" applyNumberFormat="0" applyAlignment="0" applyProtection="0"/>
    <xf numFmtId="0" fontId="22" fillId="20" borderId="89" applyNumberFormat="0" applyAlignment="0" applyProtection="0"/>
    <xf numFmtId="0" fontId="23" fillId="0" borderId="91" applyNumberFormat="0" applyFill="0" applyAlignment="0" applyProtection="0"/>
    <xf numFmtId="0" fontId="21" fillId="23" borderId="92" applyNumberFormat="0" applyFont="0" applyAlignment="0" applyProtection="0"/>
    <xf numFmtId="0" fontId="23" fillId="0" borderId="91" applyNumberFormat="0" applyFill="0" applyAlignment="0" applyProtection="0"/>
    <xf numFmtId="0" fontId="13" fillId="20" borderId="90" applyNumberFormat="0" applyAlignment="0" applyProtection="0"/>
    <xf numFmtId="0" fontId="21" fillId="23" borderId="92" applyNumberFormat="0" applyFont="0" applyAlignment="0" applyProtection="0"/>
    <xf numFmtId="0" fontId="21" fillId="23" borderId="92" applyNumberFormat="0" applyFont="0" applyAlignment="0" applyProtection="0"/>
    <xf numFmtId="0" fontId="3" fillId="0" borderId="0"/>
    <xf numFmtId="0" fontId="12" fillId="7" borderId="89" applyNumberFormat="0" applyAlignment="0" applyProtection="0"/>
    <xf numFmtId="0" fontId="13" fillId="20" borderId="90" applyNumberFormat="0" applyAlignment="0" applyProtection="0"/>
    <xf numFmtId="0" fontId="22" fillId="20" borderId="89" applyNumberFormat="0" applyAlignment="0" applyProtection="0"/>
    <xf numFmtId="0" fontId="23" fillId="0" borderId="91" applyNumberFormat="0" applyFill="0" applyAlignment="0" applyProtection="0"/>
    <xf numFmtId="0" fontId="22" fillId="20" borderId="89" applyNumberFormat="0" applyAlignment="0" applyProtection="0"/>
    <xf numFmtId="0" fontId="12" fillId="7" borderId="89" applyNumberFormat="0" applyAlignment="0" applyProtection="0"/>
    <xf numFmtId="0" fontId="3" fillId="0" borderId="0"/>
    <xf numFmtId="0" fontId="3" fillId="31" borderId="78" applyNumberFormat="0" applyFont="0" applyAlignment="0" applyProtection="0"/>
    <xf numFmtId="0" fontId="2" fillId="0" borderId="0"/>
    <xf numFmtId="0" fontId="3" fillId="0" borderId="0"/>
    <xf numFmtId="0" fontId="58" fillId="0" borderId="0"/>
    <xf numFmtId="0" fontId="59" fillId="0" borderId="0"/>
    <xf numFmtId="0" fontId="1" fillId="0" borderId="0"/>
    <xf numFmtId="9" fontId="1" fillId="0" borderId="0" applyFont="0" applyFill="0" applyBorder="0" applyAlignment="0" applyProtection="0"/>
  </cellStyleXfs>
  <cellXfs count="378">
    <xf numFmtId="0" fontId="0" fillId="0" borderId="0" xfId="0"/>
    <xf numFmtId="0" fontId="4" fillId="24" borderId="0" xfId="0" applyFont="1" applyFill="1"/>
    <xf numFmtId="4" fontId="4" fillId="24" borderId="0" xfId="0" applyNumberFormat="1" applyFont="1" applyFill="1"/>
    <xf numFmtId="0" fontId="4" fillId="24" borderId="0" xfId="0" applyFont="1" applyFill="1" applyBorder="1" applyAlignment="1">
      <alignment horizontal="left" wrapText="1"/>
    </xf>
    <xf numFmtId="0" fontId="7" fillId="24" borderId="10" xfId="0" applyFont="1" applyFill="1" applyBorder="1" applyAlignment="1">
      <alignment wrapText="1"/>
    </xf>
    <xf numFmtId="0" fontId="8" fillId="24" borderId="13" xfId="0" applyFont="1" applyFill="1" applyBorder="1" applyAlignment="1">
      <alignment horizontal="center"/>
    </xf>
    <xf numFmtId="0" fontId="8" fillId="24" borderId="18" xfId="0" applyFont="1" applyFill="1" applyBorder="1" applyAlignment="1">
      <alignment wrapText="1"/>
    </xf>
    <xf numFmtId="0" fontId="4" fillId="24" borderId="0" xfId="0" applyFont="1" applyFill="1" applyBorder="1" applyAlignment="1">
      <alignment horizontal="center" wrapText="1"/>
    </xf>
    <xf numFmtId="43" fontId="4" fillId="24" borderId="0" xfId="0" applyNumberFormat="1" applyFont="1" applyFill="1" applyBorder="1" applyAlignment="1">
      <alignment wrapText="1"/>
    </xf>
    <xf numFmtId="0" fontId="7" fillId="24" borderId="17" xfId="0" applyFont="1" applyFill="1" applyBorder="1" applyAlignment="1">
      <alignment horizontal="left" wrapText="1"/>
    </xf>
    <xf numFmtId="0" fontId="7" fillId="24" borderId="18" xfId="0" applyFont="1" applyFill="1" applyBorder="1" applyAlignment="1">
      <alignment horizontal="left" wrapText="1"/>
    </xf>
    <xf numFmtId="0" fontId="7" fillId="24" borderId="18" xfId="0" applyFont="1" applyFill="1" applyBorder="1" applyAlignment="1">
      <alignment wrapText="1"/>
    </xf>
    <xf numFmtId="0" fontId="8" fillId="24" borderId="27" xfId="0" applyFont="1" applyFill="1" applyBorder="1" applyAlignment="1">
      <alignment wrapText="1"/>
    </xf>
    <xf numFmtId="0" fontId="7" fillId="24" borderId="22" xfId="0" applyFont="1" applyFill="1" applyBorder="1"/>
    <xf numFmtId="0" fontId="8" fillId="24" borderId="17" xfId="0" applyFont="1" applyFill="1" applyBorder="1" applyAlignment="1">
      <alignment horizontal="center"/>
    </xf>
    <xf numFmtId="0" fontId="8" fillId="24" borderId="18" xfId="0" applyNumberFormat="1" applyFont="1" applyFill="1" applyBorder="1" applyAlignment="1">
      <alignment wrapText="1"/>
    </xf>
    <xf numFmtId="0" fontId="8" fillId="24" borderId="20" xfId="0" applyFont="1" applyFill="1" applyBorder="1" applyAlignment="1">
      <alignment horizontal="center"/>
    </xf>
    <xf numFmtId="0" fontId="8" fillId="24" borderId="19" xfId="0" applyNumberFormat="1" applyFont="1" applyFill="1" applyBorder="1" applyAlignment="1">
      <alignment wrapText="1"/>
    </xf>
    <xf numFmtId="4" fontId="4" fillId="24" borderId="27" xfId="0" applyNumberFormat="1" applyFont="1" applyFill="1" applyBorder="1" applyAlignment="1">
      <alignment horizontal="center" wrapText="1"/>
    </xf>
    <xf numFmtId="4" fontId="4" fillId="24" borderId="28" xfId="0" applyNumberFormat="1" applyFont="1" applyFill="1" applyBorder="1" applyAlignment="1">
      <alignment horizontal="center" wrapText="1"/>
    </xf>
    <xf numFmtId="0" fontId="7" fillId="24" borderId="29" xfId="0" applyFont="1" applyFill="1" applyBorder="1" applyAlignment="1">
      <alignment horizontal="left" wrapText="1"/>
    </xf>
    <xf numFmtId="0" fontId="8" fillId="24" borderId="26" xfId="0" applyFont="1" applyFill="1" applyBorder="1" applyAlignment="1">
      <alignment horizontal="center"/>
    </xf>
    <xf numFmtId="0" fontId="8" fillId="24" borderId="27" xfId="0" applyNumberFormat="1" applyFont="1" applyFill="1" applyBorder="1" applyAlignment="1">
      <alignment wrapText="1"/>
    </xf>
    <xf numFmtId="0" fontId="7" fillId="24" borderId="32" xfId="0" applyFont="1" applyFill="1" applyBorder="1"/>
    <xf numFmtId="0" fontId="7" fillId="24" borderId="33" xfId="0" applyNumberFormat="1" applyFont="1" applyFill="1" applyBorder="1" applyAlignment="1">
      <alignment wrapText="1"/>
    </xf>
    <xf numFmtId="4" fontId="7" fillId="24" borderId="33" xfId="0" applyNumberFormat="1" applyFont="1" applyFill="1" applyBorder="1"/>
    <xf numFmtId="10" fontId="7" fillId="24" borderId="34" xfId="37" applyNumberFormat="1" applyFont="1" applyFill="1" applyBorder="1"/>
    <xf numFmtId="0" fontId="0" fillId="24" borderId="0" xfId="0" applyFill="1"/>
    <xf numFmtId="4" fontId="7" fillId="24" borderId="24" xfId="0" applyNumberFormat="1" applyFont="1" applyFill="1" applyBorder="1"/>
    <xf numFmtId="0" fontId="7" fillId="24" borderId="13" xfId="0" applyFont="1" applyFill="1" applyBorder="1" applyAlignment="1">
      <alignment horizontal="center"/>
    </xf>
    <xf numFmtId="0" fontId="7" fillId="24" borderId="38" xfId="0" applyNumberFormat="1" applyFont="1" applyFill="1" applyBorder="1" applyAlignment="1">
      <alignment wrapText="1"/>
    </xf>
    <xf numFmtId="10" fontId="7" fillId="24" borderId="15" xfId="37" applyNumberFormat="1" applyFont="1" applyFill="1" applyBorder="1"/>
    <xf numFmtId="0" fontId="21" fillId="0" borderId="0" xfId="35"/>
    <xf numFmtId="0" fontId="28" fillId="0" borderId="0" xfId="35" applyFont="1"/>
    <xf numFmtId="43" fontId="28" fillId="0" borderId="0" xfId="35" applyNumberFormat="1" applyFont="1"/>
    <xf numFmtId="0" fontId="29" fillId="0" borderId="29" xfId="35" applyFont="1" applyBorder="1"/>
    <xf numFmtId="0" fontId="29" fillId="0" borderId="41" xfId="35" applyFont="1" applyBorder="1"/>
    <xf numFmtId="43" fontId="29" fillId="0" borderId="42" xfId="35" applyNumberFormat="1" applyFont="1" applyBorder="1"/>
    <xf numFmtId="43" fontId="29" fillId="0" borderId="37" xfId="35" applyNumberFormat="1" applyFont="1" applyBorder="1"/>
    <xf numFmtId="43" fontId="29" fillId="0" borderId="0" xfId="35" applyNumberFormat="1" applyFont="1"/>
    <xf numFmtId="0" fontId="29" fillId="0" borderId="43" xfId="35" applyFont="1" applyBorder="1"/>
    <xf numFmtId="0" fontId="29" fillId="0" borderId="0" xfId="35" applyFont="1" applyBorder="1"/>
    <xf numFmtId="43" fontId="30" fillId="0" borderId="44" xfId="35" applyNumberFormat="1" applyFont="1" applyBorder="1" applyAlignment="1">
      <alignment horizontal="center"/>
    </xf>
    <xf numFmtId="43" fontId="30" fillId="0" borderId="45" xfId="35" applyNumberFormat="1" applyFont="1" applyBorder="1" applyAlignment="1">
      <alignment horizontal="center"/>
    </xf>
    <xf numFmtId="0" fontId="29" fillId="0" borderId="46" xfId="35" applyFont="1" applyBorder="1"/>
    <xf numFmtId="0" fontId="29" fillId="0" borderId="47" xfId="35" applyFont="1" applyBorder="1"/>
    <xf numFmtId="43" fontId="30" fillId="0" borderId="48" xfId="35" applyNumberFormat="1" applyFont="1" applyBorder="1" applyAlignment="1">
      <alignment horizontal="center"/>
    </xf>
    <xf numFmtId="43" fontId="30" fillId="0" borderId="49" xfId="35" applyNumberFormat="1" applyFont="1" applyBorder="1" applyAlignment="1">
      <alignment horizontal="center"/>
    </xf>
    <xf numFmtId="43" fontId="29" fillId="0" borderId="44" xfId="35" applyNumberFormat="1" applyFont="1" applyBorder="1"/>
    <xf numFmtId="43" fontId="29" fillId="0" borderId="45" xfId="35" applyNumberFormat="1" applyFont="1" applyBorder="1"/>
    <xf numFmtId="0" fontId="30" fillId="0" borderId="43" xfId="35" applyFont="1" applyBorder="1"/>
    <xf numFmtId="0" fontId="30" fillId="0" borderId="0" xfId="35" applyFont="1" applyBorder="1"/>
    <xf numFmtId="43" fontId="30" fillId="0" borderId="44" xfId="35" applyNumberFormat="1" applyFont="1" applyFill="1" applyBorder="1"/>
    <xf numFmtId="43" fontId="30" fillId="0" borderId="45" xfId="35" applyNumberFormat="1" applyFont="1" applyFill="1" applyBorder="1"/>
    <xf numFmtId="43" fontId="30" fillId="0" borderId="44" xfId="35" applyNumberFormat="1" applyFont="1" applyBorder="1"/>
    <xf numFmtId="43" fontId="30" fillId="0" borderId="45" xfId="35" applyNumberFormat="1" applyFont="1" applyBorder="1"/>
    <xf numFmtId="0" fontId="30" fillId="0" borderId="29" xfId="35" applyFont="1" applyBorder="1"/>
    <xf numFmtId="0" fontId="30" fillId="0" borderId="41" xfId="35" applyFont="1" applyBorder="1"/>
    <xf numFmtId="43" fontId="30" fillId="0" borderId="42" xfId="35" applyNumberFormat="1" applyFont="1" applyBorder="1"/>
    <xf numFmtId="43" fontId="30" fillId="0" borderId="37" xfId="35" applyNumberFormat="1" applyFont="1" applyBorder="1"/>
    <xf numFmtId="0" fontId="30" fillId="0" borderId="46" xfId="35" applyFont="1" applyBorder="1"/>
    <xf numFmtId="0" fontId="30" fillId="0" borderId="47" xfId="35" applyFont="1" applyBorder="1"/>
    <xf numFmtId="43" fontId="30" fillId="0" borderId="48" xfId="35" applyNumberFormat="1" applyFont="1" applyBorder="1"/>
    <xf numFmtId="43" fontId="30" fillId="0" borderId="49" xfId="35" applyNumberFormat="1" applyFont="1" applyBorder="1"/>
    <xf numFmtId="43" fontId="29" fillId="0" borderId="48" xfId="35" applyNumberFormat="1" applyFont="1" applyBorder="1"/>
    <xf numFmtId="43" fontId="29" fillId="0" borderId="49" xfId="35" applyNumberFormat="1" applyFont="1" applyBorder="1"/>
    <xf numFmtId="10" fontId="7" fillId="24" borderId="31" xfId="37" applyNumberFormat="1" applyFont="1" applyFill="1" applyBorder="1"/>
    <xf numFmtId="43" fontId="0" fillId="0" borderId="0" xfId="0" applyNumberFormat="1"/>
    <xf numFmtId="0" fontId="8" fillId="24" borderId="39" xfId="0" applyFont="1" applyFill="1" applyBorder="1" applyAlignment="1">
      <alignment wrapText="1"/>
    </xf>
    <xf numFmtId="0" fontId="8" fillId="24" borderId="40" xfId="0" applyFont="1" applyFill="1" applyBorder="1" applyAlignment="1">
      <alignment wrapText="1"/>
    </xf>
    <xf numFmtId="4" fontId="7" fillId="24" borderId="14" xfId="0" applyNumberFormat="1" applyFont="1" applyFill="1" applyBorder="1" applyAlignment="1">
      <alignment horizontal="center" wrapText="1"/>
    </xf>
    <xf numFmtId="4" fontId="0" fillId="0" borderId="0" xfId="0" applyNumberFormat="1"/>
    <xf numFmtId="43" fontId="31" fillId="0" borderId="44" xfId="35" applyNumberFormat="1" applyFont="1" applyFill="1" applyBorder="1"/>
    <xf numFmtId="164" fontId="3" fillId="24" borderId="25" xfId="0" applyNumberFormat="1" applyFont="1" applyFill="1" applyBorder="1"/>
    <xf numFmtId="4" fontId="7" fillId="0" borderId="0" xfId="0" applyNumberFormat="1" applyFont="1"/>
    <xf numFmtId="165" fontId="3" fillId="24" borderId="25" xfId="0" applyNumberFormat="1" applyFont="1" applyFill="1" applyBorder="1"/>
    <xf numFmtId="0" fontId="8" fillId="24" borderId="11" xfId="0" applyFont="1" applyFill="1" applyBorder="1" applyAlignment="1">
      <alignment horizontal="center"/>
    </xf>
    <xf numFmtId="4" fontId="32" fillId="0" borderId="0" xfId="0" applyNumberFormat="1" applyFont="1"/>
    <xf numFmtId="4" fontId="3" fillId="24" borderId="18" xfId="0" applyNumberFormat="1" applyFont="1" applyFill="1" applyBorder="1"/>
    <xf numFmtId="10" fontId="3" fillId="24" borderId="31" xfId="37" applyNumberFormat="1" applyFont="1" applyFill="1" applyBorder="1"/>
    <xf numFmtId="4" fontId="3" fillId="24" borderId="27" xfId="0" applyNumberFormat="1" applyFont="1" applyFill="1" applyBorder="1"/>
    <xf numFmtId="10" fontId="3" fillId="24" borderId="28" xfId="37" applyNumberFormat="1" applyFont="1" applyFill="1" applyBorder="1"/>
    <xf numFmtId="4" fontId="3" fillId="24" borderId="19" xfId="0" applyNumberFormat="1" applyFont="1" applyFill="1" applyBorder="1"/>
    <xf numFmtId="10" fontId="3" fillId="24" borderId="35" xfId="37" applyNumberFormat="1" applyFont="1" applyFill="1" applyBorder="1"/>
    <xf numFmtId="0" fontId="3" fillId="24" borderId="0" xfId="0" applyFont="1" applyFill="1"/>
    <xf numFmtId="0" fontId="6" fillId="24" borderId="0" xfId="0" applyFont="1" applyFill="1" applyBorder="1" applyAlignment="1">
      <alignment horizontal="center"/>
    </xf>
    <xf numFmtId="0" fontId="7" fillId="24" borderId="10" xfId="0" applyFont="1" applyFill="1" applyBorder="1" applyAlignment="1">
      <alignment wrapText="1"/>
    </xf>
    <xf numFmtId="0" fontId="6" fillId="24" borderId="0" xfId="0" applyFont="1" applyFill="1" applyBorder="1" applyAlignment="1">
      <alignment horizontal="center"/>
    </xf>
    <xf numFmtId="0" fontId="7" fillId="24" borderId="10" xfId="0" applyFont="1" applyFill="1" applyBorder="1" applyAlignment="1">
      <alignment wrapText="1"/>
    </xf>
    <xf numFmtId="0" fontId="34" fillId="24" borderId="0" xfId="0" applyFont="1" applyFill="1" applyBorder="1" applyAlignment="1">
      <alignment horizontal="left" vertical="center" wrapText="1"/>
    </xf>
    <xf numFmtId="0" fontId="7" fillId="24" borderId="22" xfId="0" applyFont="1" applyFill="1" applyBorder="1" applyAlignment="1">
      <alignment wrapText="1"/>
    </xf>
    <xf numFmtId="0" fontId="8" fillId="24" borderId="57" xfId="0" applyFont="1" applyFill="1" applyBorder="1" applyAlignment="1">
      <alignment wrapText="1"/>
    </xf>
    <xf numFmtId="0" fontId="7" fillId="24" borderId="17" xfId="0" applyFont="1" applyFill="1" applyBorder="1" applyAlignment="1">
      <alignment wrapText="1"/>
    </xf>
    <xf numFmtId="0" fontId="7" fillId="24" borderId="0" xfId="0" applyFont="1" applyFill="1" applyBorder="1" applyAlignment="1">
      <alignment horizontal="left" wrapText="1"/>
    </xf>
    <xf numFmtId="43" fontId="7" fillId="24" borderId="0" xfId="0" applyNumberFormat="1" applyFont="1" applyFill="1" applyBorder="1" applyAlignment="1">
      <alignment horizontal="right" wrapText="1"/>
    </xf>
    <xf numFmtId="0" fontId="7" fillId="24" borderId="30" xfId="0" applyFont="1" applyFill="1" applyBorder="1" applyAlignment="1">
      <alignment horizontal="left" wrapText="1"/>
    </xf>
    <xf numFmtId="0" fontId="7" fillId="24" borderId="14" xfId="0" applyFont="1" applyFill="1" applyBorder="1" applyAlignment="1">
      <alignment horizontal="left" wrapText="1"/>
    </xf>
    <xf numFmtId="0" fontId="7" fillId="24" borderId="26" xfId="0" applyFont="1" applyFill="1" applyBorder="1" applyAlignment="1">
      <alignment horizontal="left" wrapText="1"/>
    </xf>
    <xf numFmtId="0" fontId="7" fillId="24" borderId="27" xfId="0" applyFont="1" applyFill="1" applyBorder="1" applyAlignment="1">
      <alignment horizontal="left" wrapText="1"/>
    </xf>
    <xf numFmtId="0" fontId="7" fillId="24" borderId="54" xfId="0" applyFont="1" applyFill="1" applyBorder="1" applyAlignment="1">
      <alignment horizontal="left" wrapText="1"/>
    </xf>
    <xf numFmtId="0" fontId="7" fillId="24" borderId="21" xfId="0" applyFont="1" applyFill="1" applyBorder="1" applyAlignment="1">
      <alignment horizontal="left" wrapText="1"/>
    </xf>
    <xf numFmtId="4" fontId="7" fillId="24" borderId="16" xfId="0" applyNumberFormat="1" applyFont="1" applyFill="1" applyBorder="1"/>
    <xf numFmtId="0" fontId="8" fillId="24" borderId="17" xfId="0" applyFont="1" applyFill="1" applyBorder="1" applyAlignment="1">
      <alignment horizontal="left"/>
    </xf>
    <xf numFmtId="0" fontId="8" fillId="24" borderId="20" xfId="0" applyFont="1" applyFill="1" applyBorder="1" applyAlignment="1">
      <alignment horizontal="left"/>
    </xf>
    <xf numFmtId="0" fontId="8" fillId="24" borderId="17" xfId="0" applyFont="1" applyFill="1" applyBorder="1" applyAlignment="1">
      <alignment wrapText="1"/>
    </xf>
    <xf numFmtId="0" fontId="8" fillId="24" borderId="26" xfId="0" applyFont="1" applyFill="1" applyBorder="1" applyAlignment="1">
      <alignment wrapText="1"/>
    </xf>
    <xf numFmtId="0" fontId="8" fillId="24" borderId="17" xfId="0" applyFont="1" applyFill="1" applyBorder="1" applyAlignment="1">
      <alignment horizontal="left" wrapText="1"/>
    </xf>
    <xf numFmtId="0" fontId="8" fillId="24" borderId="26" xfId="0" applyFont="1" applyFill="1" applyBorder="1" applyAlignment="1">
      <alignment horizontal="left" wrapText="1"/>
    </xf>
    <xf numFmtId="0" fontId="8" fillId="24" borderId="20" xfId="0" applyFont="1" applyFill="1" applyBorder="1" applyAlignment="1">
      <alignment horizontal="left" wrapText="1"/>
    </xf>
    <xf numFmtId="0" fontId="8" fillId="24" borderId="0" xfId="0" applyFont="1" applyFill="1" applyBorder="1" applyAlignment="1">
      <alignment horizontal="left"/>
    </xf>
    <xf numFmtId="0" fontId="8" fillId="24" borderId="0" xfId="0" applyNumberFormat="1" applyFont="1" applyFill="1" applyBorder="1" applyAlignment="1">
      <alignment wrapText="1"/>
    </xf>
    <xf numFmtId="165" fontId="3" fillId="24" borderId="0" xfId="0" applyNumberFormat="1" applyFont="1" applyFill="1" applyBorder="1"/>
    <xf numFmtId="0" fontId="8" fillId="24" borderId="32" xfId="0" applyFont="1" applyFill="1" applyBorder="1" applyAlignment="1">
      <alignment horizontal="center"/>
    </xf>
    <xf numFmtId="0" fontId="8" fillId="24" borderId="33" xfId="0" applyNumberFormat="1" applyFont="1" applyFill="1" applyBorder="1" applyAlignment="1">
      <alignment wrapText="1"/>
    </xf>
    <xf numFmtId="4" fontId="3" fillId="24" borderId="33" xfId="0" applyNumberFormat="1" applyFont="1" applyFill="1" applyBorder="1"/>
    <xf numFmtId="10" fontId="3" fillId="24" borderId="34" xfId="37" applyNumberFormat="1" applyFont="1" applyFill="1" applyBorder="1"/>
    <xf numFmtId="0" fontId="7" fillId="24" borderId="60" xfId="0" applyFont="1" applyFill="1" applyBorder="1"/>
    <xf numFmtId="0" fontId="7" fillId="24" borderId="61" xfId="0" applyNumberFormat="1" applyFont="1" applyFill="1" applyBorder="1" applyAlignment="1">
      <alignment wrapText="1"/>
    </xf>
    <xf numFmtId="4" fontId="7" fillId="24" borderId="61" xfId="0" applyNumberFormat="1" applyFont="1" applyFill="1" applyBorder="1"/>
    <xf numFmtId="10" fontId="7" fillId="24" borderId="62" xfId="37" applyNumberFormat="1" applyFont="1" applyFill="1" applyBorder="1"/>
    <xf numFmtId="0" fontId="7" fillId="24" borderId="17" xfId="0" applyFont="1" applyFill="1" applyBorder="1"/>
    <xf numFmtId="0" fontId="7" fillId="24" borderId="18" xfId="0" applyNumberFormat="1" applyFont="1" applyFill="1" applyBorder="1" applyAlignment="1">
      <alignment wrapText="1"/>
    </xf>
    <xf numFmtId="4" fontId="7" fillId="24" borderId="18" xfId="0" applyNumberFormat="1" applyFont="1" applyFill="1" applyBorder="1"/>
    <xf numFmtId="0" fontId="8" fillId="24" borderId="26" xfId="0" applyFont="1" applyFill="1" applyBorder="1" applyAlignment="1">
      <alignment horizontal="left"/>
    </xf>
    <xf numFmtId="0" fontId="7" fillId="24" borderId="39" xfId="0" applyNumberFormat="1" applyFont="1" applyFill="1" applyBorder="1" applyAlignment="1">
      <alignment wrapText="1"/>
    </xf>
    <xf numFmtId="4" fontId="3" fillId="24" borderId="55" xfId="0" applyNumberFormat="1" applyFont="1" applyFill="1" applyBorder="1"/>
    <xf numFmtId="0" fontId="7" fillId="24" borderId="14" xfId="0" applyNumberFormat="1" applyFont="1" applyFill="1" applyBorder="1" applyAlignment="1">
      <alignment wrapText="1"/>
    </xf>
    <xf numFmtId="4" fontId="7" fillId="24" borderId="14" xfId="0" applyNumberFormat="1" applyFont="1" applyFill="1" applyBorder="1" applyAlignment="1">
      <alignment horizontal="right" wrapText="1"/>
    </xf>
    <xf numFmtId="0" fontId="7" fillId="24" borderId="23" xfId="0" applyFont="1" applyFill="1" applyBorder="1" applyAlignment="1">
      <alignment wrapText="1"/>
    </xf>
    <xf numFmtId="0" fontId="8" fillId="24" borderId="32" xfId="0" applyFont="1" applyFill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7" fillId="24" borderId="60" xfId="0" applyFont="1" applyFill="1" applyBorder="1" applyAlignment="1">
      <alignment horizontal="left"/>
    </xf>
    <xf numFmtId="0" fontId="7" fillId="24" borderId="32" xfId="0" applyFont="1" applyFill="1" applyBorder="1" applyAlignment="1">
      <alignment horizontal="left"/>
    </xf>
    <xf numFmtId="0" fontId="34" fillId="24" borderId="0" xfId="0" applyFont="1" applyFill="1" applyBorder="1" applyAlignment="1">
      <alignment horizontal="left" vertical="center" wrapText="1"/>
    </xf>
    <xf numFmtId="0" fontId="6" fillId="24" borderId="0" xfId="0" applyFont="1" applyFill="1" applyBorder="1" applyAlignment="1">
      <alignment horizontal="center"/>
    </xf>
    <xf numFmtId="0" fontId="7" fillId="24" borderId="10" xfId="0" applyFont="1" applyFill="1" applyBorder="1" applyAlignment="1">
      <alignment wrapText="1"/>
    </xf>
    <xf numFmtId="0" fontId="34" fillId="24" borderId="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wrapText="1"/>
    </xf>
    <xf numFmtId="0" fontId="6" fillId="24" borderId="0" xfId="0" applyFont="1" applyFill="1" applyBorder="1" applyAlignment="1">
      <alignment horizontal="center"/>
    </xf>
    <xf numFmtId="0" fontId="34" fillId="24" borderId="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wrapText="1"/>
    </xf>
    <xf numFmtId="0" fontId="6" fillId="24" borderId="0" xfId="0" applyFont="1" applyFill="1" applyBorder="1" applyAlignment="1">
      <alignment horizontal="center"/>
    </xf>
    <xf numFmtId="0" fontId="34" fillId="24" borderId="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wrapText="1"/>
    </xf>
    <xf numFmtId="0" fontId="6" fillId="24" borderId="0" xfId="0" applyFont="1" applyFill="1" applyBorder="1" applyAlignment="1">
      <alignment horizontal="center"/>
    </xf>
    <xf numFmtId="0" fontId="34" fillId="24" borderId="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wrapText="1"/>
    </xf>
    <xf numFmtId="0" fontId="6" fillId="24" borderId="0" xfId="0" applyFont="1" applyFill="1" applyBorder="1" applyAlignment="1">
      <alignment horizontal="center"/>
    </xf>
    <xf numFmtId="43" fontId="7" fillId="24" borderId="12" xfId="0" applyNumberFormat="1" applyFont="1" applyFill="1" applyBorder="1" applyAlignment="1">
      <alignment horizontal="right" wrapText="1"/>
    </xf>
    <xf numFmtId="164" fontId="3" fillId="24" borderId="50" xfId="0" applyNumberFormat="1" applyFont="1" applyFill="1" applyBorder="1"/>
    <xf numFmtId="0" fontId="34" fillId="24" borderId="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wrapText="1"/>
    </xf>
    <xf numFmtId="4" fontId="3" fillId="0" borderId="0" xfId="0" applyNumberFormat="1" applyFont="1"/>
    <xf numFmtId="0" fontId="34" fillId="24" borderId="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wrapText="1"/>
    </xf>
    <xf numFmtId="0" fontId="29" fillId="0" borderId="0" xfId="35" applyNumberFormat="1" applyFont="1"/>
    <xf numFmtId="0" fontId="0" fillId="0" borderId="0" xfId="0" applyFill="1"/>
    <xf numFmtId="0" fontId="7" fillId="0" borderId="0" xfId="0" applyFont="1" applyFill="1"/>
    <xf numFmtId="4" fontId="0" fillId="0" borderId="0" xfId="0" applyNumberFormat="1" applyFill="1"/>
    <xf numFmtId="4" fontId="7" fillId="0" borderId="0" xfId="0" applyNumberFormat="1" applyFont="1" applyFill="1"/>
    <xf numFmtId="4" fontId="32" fillId="0" borderId="0" xfId="0" applyNumberFormat="1" applyFont="1" applyFill="1"/>
    <xf numFmtId="4" fontId="7" fillId="0" borderId="16" xfId="0" applyNumberFormat="1" applyFont="1" applyFill="1" applyBorder="1"/>
    <xf numFmtId="4" fontId="7" fillId="0" borderId="24" xfId="0" applyNumberFormat="1" applyFont="1" applyFill="1" applyBorder="1"/>
    <xf numFmtId="4" fontId="3" fillId="0" borderId="55" xfId="0" applyNumberFormat="1" applyFont="1" applyFill="1" applyBorder="1"/>
    <xf numFmtId="43" fontId="32" fillId="0" borderId="0" xfId="0" applyNumberFormat="1" applyFont="1"/>
    <xf numFmtId="0" fontId="34" fillId="24" borderId="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wrapText="1"/>
    </xf>
    <xf numFmtId="0" fontId="34" fillId="24" borderId="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wrapText="1"/>
    </xf>
    <xf numFmtId="0" fontId="34" fillId="24" borderId="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wrapText="1"/>
    </xf>
    <xf numFmtId="0" fontId="7" fillId="24" borderId="10" xfId="0" applyFont="1" applyFill="1" applyBorder="1" applyAlignment="1">
      <alignment wrapText="1"/>
    </xf>
    <xf numFmtId="0" fontId="7" fillId="24" borderId="10" xfId="0" applyFont="1" applyFill="1" applyBorder="1" applyAlignment="1">
      <alignment wrapText="1"/>
    </xf>
    <xf numFmtId="0" fontId="3" fillId="0" borderId="0" xfId="0" applyFont="1"/>
    <xf numFmtId="0" fontId="3" fillId="24" borderId="17" xfId="0" applyFont="1" applyFill="1" applyBorder="1" applyAlignment="1">
      <alignment horizontal="left" wrapText="1"/>
    </xf>
    <xf numFmtId="0" fontId="3" fillId="24" borderId="18" xfId="0" applyFont="1" applyFill="1" applyBorder="1" applyAlignment="1">
      <alignment wrapText="1"/>
    </xf>
    <xf numFmtId="0" fontId="3" fillId="24" borderId="39" xfId="0" applyFont="1" applyFill="1" applyBorder="1" applyAlignment="1">
      <alignment wrapText="1"/>
    </xf>
    <xf numFmtId="0" fontId="3" fillId="24" borderId="26" xfId="0" applyFont="1" applyFill="1" applyBorder="1" applyAlignment="1">
      <alignment horizontal="left" wrapText="1"/>
    </xf>
    <xf numFmtId="0" fontId="3" fillId="24" borderId="57" xfId="0" applyFont="1" applyFill="1" applyBorder="1" applyAlignment="1">
      <alignment wrapText="1"/>
    </xf>
    <xf numFmtId="0" fontId="3" fillId="24" borderId="20" xfId="0" applyFont="1" applyFill="1" applyBorder="1" applyAlignment="1">
      <alignment horizontal="left" wrapText="1"/>
    </xf>
    <xf numFmtId="0" fontId="3" fillId="24" borderId="40" xfId="0" applyFont="1" applyFill="1" applyBorder="1" applyAlignment="1">
      <alignment wrapText="1"/>
    </xf>
    <xf numFmtId="0" fontId="3" fillId="24" borderId="13" xfId="0" applyFont="1" applyFill="1" applyBorder="1" applyAlignment="1">
      <alignment horizontal="center"/>
    </xf>
    <xf numFmtId="0" fontId="3" fillId="24" borderId="17" xfId="0" applyFont="1" applyFill="1" applyBorder="1" applyAlignment="1">
      <alignment wrapText="1"/>
    </xf>
    <xf numFmtId="0" fontId="3" fillId="24" borderId="26" xfId="0" applyFont="1" applyFill="1" applyBorder="1" applyAlignment="1">
      <alignment wrapText="1"/>
    </xf>
    <xf numFmtId="0" fontId="3" fillId="24" borderId="27" xfId="0" applyFont="1" applyFill="1" applyBorder="1" applyAlignment="1">
      <alignment wrapText="1"/>
    </xf>
    <xf numFmtId="0" fontId="3" fillId="24" borderId="17" xfId="0" applyFont="1" applyFill="1" applyBorder="1" applyAlignment="1">
      <alignment horizontal="left"/>
    </xf>
    <xf numFmtId="0" fontId="3" fillId="24" borderId="18" xfId="0" applyNumberFormat="1" applyFont="1" applyFill="1" applyBorder="1" applyAlignment="1">
      <alignment wrapText="1"/>
    </xf>
    <xf numFmtId="0" fontId="3" fillId="24" borderId="26" xfId="0" applyFont="1" applyFill="1" applyBorder="1" applyAlignment="1">
      <alignment horizontal="left"/>
    </xf>
    <xf numFmtId="0" fontId="3" fillId="24" borderId="27" xfId="0" applyNumberFormat="1" applyFont="1" applyFill="1" applyBorder="1" applyAlignment="1">
      <alignment wrapText="1"/>
    </xf>
    <xf numFmtId="0" fontId="3" fillId="24" borderId="20" xfId="0" applyFont="1" applyFill="1" applyBorder="1" applyAlignment="1">
      <alignment horizontal="left"/>
    </xf>
    <xf numFmtId="0" fontId="3" fillId="24" borderId="19" xfId="0" applyNumberFormat="1" applyFont="1" applyFill="1" applyBorder="1" applyAlignment="1">
      <alignment wrapText="1"/>
    </xf>
    <xf numFmtId="0" fontId="3" fillId="24" borderId="0" xfId="0" applyFont="1" applyFill="1" applyBorder="1" applyAlignment="1">
      <alignment horizontal="left"/>
    </xf>
    <xf numFmtId="0" fontId="3" fillId="24" borderId="0" xfId="0" applyNumberFormat="1" applyFont="1" applyFill="1" applyBorder="1" applyAlignment="1">
      <alignment wrapText="1"/>
    </xf>
    <xf numFmtId="167" fontId="0" fillId="0" borderId="0" xfId="0" applyNumberFormat="1"/>
    <xf numFmtId="0" fontId="7" fillId="24" borderId="38" xfId="0" applyFont="1" applyFill="1" applyBorder="1" applyAlignment="1">
      <alignment wrapText="1"/>
    </xf>
    <xf numFmtId="0" fontId="8" fillId="24" borderId="87" xfId="0" applyFont="1" applyFill="1" applyBorder="1" applyAlignment="1">
      <alignment wrapText="1"/>
    </xf>
    <xf numFmtId="0" fontId="8" fillId="24" borderId="88" xfId="0" applyFont="1" applyFill="1" applyBorder="1" applyAlignment="1">
      <alignment wrapText="1"/>
    </xf>
    <xf numFmtId="0" fontId="7" fillId="24" borderId="87" xfId="0" applyFont="1" applyFill="1" applyBorder="1" applyAlignment="1">
      <alignment wrapText="1"/>
    </xf>
    <xf numFmtId="0" fontId="34" fillId="24" borderId="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wrapText="1"/>
    </xf>
    <xf numFmtId="165" fontId="55" fillId="24" borderId="0" xfId="0" applyNumberFormat="1" applyFont="1" applyFill="1" applyBorder="1"/>
    <xf numFmtId="43" fontId="7" fillId="24" borderId="53" xfId="0" applyNumberFormat="1" applyFont="1" applyFill="1" applyBorder="1" applyAlignment="1">
      <alignment horizontal="right" wrapText="1"/>
    </xf>
    <xf numFmtId="43" fontId="7" fillId="24" borderId="51" xfId="0" applyNumberFormat="1" applyFont="1" applyFill="1" applyBorder="1" applyAlignment="1">
      <alignment horizontal="right" wrapText="1"/>
    </xf>
    <xf numFmtId="43" fontId="3" fillId="24" borderId="51" xfId="0" applyNumberFormat="1" applyFont="1" applyFill="1" applyBorder="1" applyAlignment="1">
      <alignment horizontal="right" wrapText="1"/>
    </xf>
    <xf numFmtId="43" fontId="3" fillId="24" borderId="59" xfId="0" applyNumberFormat="1" applyFont="1" applyFill="1" applyBorder="1" applyAlignment="1">
      <alignment horizontal="right" wrapText="1"/>
    </xf>
    <xf numFmtId="43" fontId="7" fillId="24" borderId="59" xfId="0" applyNumberFormat="1" applyFont="1" applyFill="1" applyBorder="1" applyAlignment="1">
      <alignment horizontal="right" wrapText="1"/>
    </xf>
    <xf numFmtId="43" fontId="7" fillId="24" borderId="13" xfId="0" applyNumberFormat="1" applyFont="1" applyFill="1" applyBorder="1" applyAlignment="1">
      <alignment horizontal="right" wrapText="1"/>
    </xf>
    <xf numFmtId="164" fontId="3" fillId="24" borderId="51" xfId="0" applyNumberFormat="1" applyFont="1" applyFill="1" applyBorder="1"/>
    <xf numFmtId="4" fontId="3" fillId="24" borderId="58" xfId="0" applyNumberFormat="1" applyFont="1" applyFill="1" applyBorder="1"/>
    <xf numFmtId="165" fontId="3" fillId="24" borderId="52" xfId="0" applyNumberFormat="1" applyFont="1" applyFill="1" applyBorder="1"/>
    <xf numFmtId="0" fontId="7" fillId="24" borderId="10" xfId="0" applyFont="1" applyFill="1" applyBorder="1" applyAlignment="1">
      <alignment wrapText="1"/>
    </xf>
    <xf numFmtId="4" fontId="3" fillId="24" borderId="86" xfId="0" applyNumberFormat="1" applyFont="1" applyFill="1" applyBorder="1"/>
    <xf numFmtId="0" fontId="7" fillId="24" borderId="10" xfId="0" applyFont="1" applyFill="1" applyBorder="1" applyAlignment="1">
      <alignment wrapText="1"/>
    </xf>
    <xf numFmtId="0" fontId="34" fillId="24" borderId="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wrapText="1"/>
    </xf>
    <xf numFmtId="0" fontId="3" fillId="24" borderId="11" xfId="0" applyFont="1" applyFill="1" applyBorder="1" applyAlignment="1">
      <alignment horizontal="center"/>
    </xf>
    <xf numFmtId="0" fontId="7" fillId="24" borderId="39" xfId="0" applyFont="1" applyFill="1" applyBorder="1" applyAlignment="1">
      <alignment wrapText="1"/>
    </xf>
    <xf numFmtId="4" fontId="54" fillId="24" borderId="16" xfId="0" applyNumberFormat="1" applyFont="1" applyFill="1" applyBorder="1"/>
    <xf numFmtId="4" fontId="57" fillId="24" borderId="0" xfId="0" applyNumberFormat="1" applyFont="1" applyFill="1"/>
    <xf numFmtId="43" fontId="0" fillId="0" borderId="0" xfId="0" applyNumberFormat="1" applyAlignment="1">
      <alignment horizontal="right"/>
    </xf>
    <xf numFmtId="0" fontId="34" fillId="24" borderId="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wrapText="1"/>
    </xf>
    <xf numFmtId="43" fontId="57" fillId="24" borderId="0" xfId="0" applyNumberFormat="1" applyFont="1" applyFill="1" applyBorder="1" applyAlignment="1">
      <alignment wrapText="1"/>
    </xf>
    <xf numFmtId="43" fontId="54" fillId="24" borderId="0" xfId="0" applyNumberFormat="1" applyFont="1" applyFill="1" applyBorder="1" applyAlignment="1">
      <alignment horizontal="right" wrapText="1"/>
    </xf>
    <xf numFmtId="43" fontId="7" fillId="0" borderId="55" xfId="0" applyNumberFormat="1" applyFont="1" applyFill="1" applyBorder="1" applyAlignment="1">
      <alignment horizontal="right" wrapText="1"/>
    </xf>
    <xf numFmtId="43" fontId="7" fillId="0" borderId="25" xfId="0" applyNumberFormat="1" applyFont="1" applyFill="1" applyBorder="1" applyAlignment="1">
      <alignment horizontal="right" wrapText="1"/>
    </xf>
    <xf numFmtId="43" fontId="3" fillId="0" borderId="25" xfId="0" applyNumberFormat="1" applyFont="1" applyFill="1" applyBorder="1" applyAlignment="1">
      <alignment horizontal="right" wrapText="1"/>
    </xf>
    <xf numFmtId="43" fontId="3" fillId="0" borderId="50" xfId="0" applyNumberFormat="1" applyFont="1" applyFill="1" applyBorder="1" applyAlignment="1">
      <alignment horizontal="right" wrapText="1"/>
    </xf>
    <xf numFmtId="43" fontId="7" fillId="0" borderId="12" xfId="0" applyNumberFormat="1" applyFont="1" applyFill="1" applyBorder="1" applyAlignment="1">
      <alignment horizontal="right" wrapText="1"/>
    </xf>
    <xf numFmtId="164" fontId="3" fillId="0" borderId="50" xfId="0" applyNumberFormat="1" applyFont="1" applyFill="1" applyBorder="1"/>
    <xf numFmtId="165" fontId="3" fillId="0" borderId="35" xfId="0" applyNumberFormat="1" applyFont="1" applyFill="1" applyBorder="1"/>
    <xf numFmtId="43" fontId="7" fillId="24" borderId="37" xfId="0" applyNumberFormat="1" applyFont="1" applyFill="1" applyBorder="1" applyAlignment="1">
      <alignment horizontal="right" wrapText="1"/>
    </xf>
    <xf numFmtId="43" fontId="7" fillId="24" borderId="50" xfId="0" applyNumberFormat="1" applyFont="1" applyFill="1" applyBorder="1" applyAlignment="1">
      <alignment horizontal="right" wrapText="1"/>
    </xf>
    <xf numFmtId="165" fontId="3" fillId="24" borderId="36" xfId="0" applyNumberFormat="1" applyFont="1" applyFill="1" applyBorder="1"/>
    <xf numFmtId="165" fontId="3" fillId="0" borderId="25" xfId="0" applyNumberFormat="1" applyFont="1" applyFill="1" applyBorder="1"/>
    <xf numFmtId="164" fontId="3" fillId="24" borderId="85" xfId="0" applyNumberFormat="1" applyFont="1" applyFill="1" applyBorder="1"/>
    <xf numFmtId="165" fontId="3" fillId="24" borderId="86" xfId="0" applyNumberFormat="1" applyFont="1" applyFill="1" applyBorder="1"/>
    <xf numFmtId="0" fontId="3" fillId="24" borderId="33" xfId="0" applyNumberFormat="1" applyFont="1" applyFill="1" applyBorder="1" applyAlignment="1">
      <alignment wrapText="1"/>
    </xf>
    <xf numFmtId="0" fontId="3" fillId="24" borderId="32" xfId="0" applyFont="1" applyFill="1" applyBorder="1" applyAlignment="1">
      <alignment horizontal="left"/>
    </xf>
    <xf numFmtId="164" fontId="3" fillId="24" borderId="94" xfId="0" applyNumberFormat="1" applyFont="1" applyFill="1" applyBorder="1"/>
    <xf numFmtId="164" fontId="3" fillId="24" borderId="45" xfId="0" applyNumberFormat="1" applyFont="1" applyFill="1" applyBorder="1"/>
    <xf numFmtId="0" fontId="34" fillId="24" borderId="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wrapText="1"/>
    </xf>
    <xf numFmtId="43" fontId="7" fillId="24" borderId="23" xfId="0" applyNumberFormat="1" applyFont="1" applyFill="1" applyBorder="1" applyAlignment="1">
      <alignment horizontal="right" wrapText="1"/>
    </xf>
    <xf numFmtId="43" fontId="7" fillId="24" borderId="24" xfId="0" applyNumberFormat="1" applyFont="1" applyFill="1" applyBorder="1" applyAlignment="1">
      <alignment horizontal="right" wrapText="1"/>
    </xf>
    <xf numFmtId="43" fontId="3" fillId="24" borderId="19" xfId="0" applyNumberFormat="1" applyFont="1" applyFill="1" applyBorder="1" applyAlignment="1">
      <alignment horizontal="right" wrapText="1"/>
    </xf>
    <xf numFmtId="43" fontId="3" fillId="24" borderId="36" xfId="0" applyNumberFormat="1" applyFont="1" applyFill="1" applyBorder="1" applyAlignment="1">
      <alignment horizontal="right" wrapText="1"/>
    </xf>
    <xf numFmtId="43" fontId="7" fillId="24" borderId="21" xfId="0" applyNumberFormat="1" applyFont="1" applyFill="1" applyBorder="1" applyAlignment="1">
      <alignment horizontal="right" wrapText="1"/>
    </xf>
    <xf numFmtId="164" fontId="3" fillId="0" borderId="51" xfId="0" applyNumberFormat="1" applyFont="1" applyFill="1" applyBorder="1"/>
    <xf numFmtId="164" fontId="3" fillId="0" borderId="25" xfId="0" applyNumberFormat="1" applyFont="1" applyFill="1" applyBorder="1"/>
    <xf numFmtId="4" fontId="3" fillId="0" borderId="58" xfId="0" applyNumberFormat="1" applyFont="1" applyFill="1" applyBorder="1"/>
    <xf numFmtId="165" fontId="3" fillId="0" borderId="50" xfId="0" applyNumberFormat="1" applyFont="1" applyFill="1" applyBorder="1"/>
    <xf numFmtId="165" fontId="3" fillId="0" borderId="52" xfId="0" applyNumberFormat="1" applyFont="1" applyFill="1" applyBorder="1"/>
    <xf numFmtId="43" fontId="7" fillId="0" borderId="53" xfId="0" applyNumberFormat="1" applyFont="1" applyFill="1" applyBorder="1" applyAlignment="1">
      <alignment horizontal="right" wrapText="1"/>
    </xf>
    <xf numFmtId="43" fontId="7" fillId="0" borderId="37" xfId="0" applyNumberFormat="1" applyFont="1" applyFill="1" applyBorder="1" applyAlignment="1">
      <alignment horizontal="right" wrapText="1"/>
    </xf>
    <xf numFmtId="43" fontId="7" fillId="0" borderId="51" xfId="0" applyNumberFormat="1" applyFont="1" applyFill="1" applyBorder="1" applyAlignment="1">
      <alignment horizontal="right" wrapText="1"/>
    </xf>
    <xf numFmtId="43" fontId="3" fillId="0" borderId="51" xfId="0" applyNumberFormat="1" applyFont="1" applyFill="1" applyBorder="1" applyAlignment="1">
      <alignment horizontal="right" wrapText="1"/>
    </xf>
    <xf numFmtId="43" fontId="3" fillId="0" borderId="59" xfId="0" applyNumberFormat="1" applyFont="1" applyFill="1" applyBorder="1" applyAlignment="1">
      <alignment horizontal="right" wrapText="1"/>
    </xf>
    <xf numFmtId="43" fontId="7" fillId="0" borderId="59" xfId="0" applyNumberFormat="1" applyFont="1" applyFill="1" applyBorder="1" applyAlignment="1">
      <alignment horizontal="right" wrapText="1"/>
    </xf>
    <xf numFmtId="43" fontId="7" fillId="0" borderId="13" xfId="0" applyNumberFormat="1" applyFont="1" applyFill="1" applyBorder="1" applyAlignment="1">
      <alignment horizontal="right" wrapText="1"/>
    </xf>
    <xf numFmtId="164" fontId="3" fillId="24" borderId="82" xfId="0" applyNumberFormat="1" applyFont="1" applyFill="1" applyBorder="1"/>
    <xf numFmtId="164" fontId="3" fillId="24" borderId="86" xfId="0" applyNumberFormat="1" applyFont="1" applyFill="1" applyBorder="1"/>
    <xf numFmtId="4" fontId="3" fillId="24" borderId="84" xfId="0" applyNumberFormat="1" applyFont="1" applyFill="1" applyBorder="1"/>
    <xf numFmtId="164" fontId="3" fillId="24" borderId="83" xfId="0" applyNumberFormat="1" applyFont="1" applyFill="1" applyBorder="1"/>
    <xf numFmtId="164" fontId="3" fillId="0" borderId="96" xfId="0" applyNumberFormat="1" applyFont="1" applyBorder="1"/>
    <xf numFmtId="164" fontId="3" fillId="0" borderId="18" xfId="0" applyNumberFormat="1" applyFont="1" applyBorder="1"/>
    <xf numFmtId="165" fontId="3" fillId="24" borderId="50" xfId="0" applyNumberFormat="1" applyFont="1" applyFill="1" applyBorder="1"/>
    <xf numFmtId="165" fontId="3" fillId="24" borderId="31" xfId="0" applyNumberFormat="1" applyFont="1" applyFill="1" applyBorder="1"/>
    <xf numFmtId="165" fontId="3" fillId="0" borderId="35" xfId="0" applyNumberFormat="1" applyFont="1" applyBorder="1"/>
    <xf numFmtId="4" fontId="60" fillId="0" borderId="0" xfId="0" applyNumberFormat="1" applyFont="1"/>
    <xf numFmtId="164" fontId="3" fillId="24" borderId="31" xfId="0" applyNumberFormat="1" applyFont="1" applyFill="1" applyBorder="1"/>
    <xf numFmtId="164" fontId="3" fillId="24" borderId="36" xfId="0" applyNumberFormat="1" applyFont="1" applyFill="1" applyBorder="1"/>
    <xf numFmtId="164" fontId="3" fillId="0" borderId="31" xfId="0" applyNumberFormat="1" applyFont="1" applyBorder="1"/>
    <xf numFmtId="164" fontId="3" fillId="24" borderId="35" xfId="0" applyNumberFormat="1" applyFont="1" applyFill="1" applyBorder="1"/>
    <xf numFmtId="4" fontId="3" fillId="24" borderId="80" xfId="0" applyNumberFormat="1" applyFont="1" applyFill="1" applyBorder="1"/>
    <xf numFmtId="0" fontId="3" fillId="24" borderId="87" xfId="0" applyFont="1" applyFill="1" applyBorder="1" applyAlignment="1">
      <alignment wrapText="1"/>
    </xf>
    <xf numFmtId="43" fontId="3" fillId="24" borderId="80" xfId="0" applyNumberFormat="1" applyFont="1" applyFill="1" applyBorder="1" applyAlignment="1">
      <alignment horizontal="right" wrapText="1"/>
    </xf>
    <xf numFmtId="0" fontId="3" fillId="24" borderId="88" xfId="0" applyFont="1" applyFill="1" applyBorder="1" applyAlignment="1">
      <alignment wrapText="1"/>
    </xf>
    <xf numFmtId="43" fontId="3" fillId="24" borderId="81" xfId="0" applyNumberFormat="1" applyFont="1" applyFill="1" applyBorder="1" applyAlignment="1">
      <alignment horizontal="right" wrapText="1"/>
    </xf>
    <xf numFmtId="43" fontId="7" fillId="24" borderId="80" xfId="0" applyNumberFormat="1" applyFont="1" applyFill="1" applyBorder="1" applyAlignment="1">
      <alignment horizontal="right" wrapText="1"/>
    </xf>
    <xf numFmtId="4" fontId="3" fillId="24" borderId="82" xfId="0" applyNumberFormat="1" applyFont="1" applyFill="1" applyBorder="1"/>
    <xf numFmtId="43" fontId="7" fillId="24" borderId="14" xfId="0" applyNumberFormat="1" applyFont="1" applyFill="1" applyBorder="1" applyAlignment="1">
      <alignment horizontal="right" wrapText="1"/>
    </xf>
    <xf numFmtId="43" fontId="7" fillId="0" borderId="80" xfId="0" applyNumberFormat="1" applyFont="1" applyFill="1" applyBorder="1" applyAlignment="1">
      <alignment horizontal="right" wrapText="1"/>
    </xf>
    <xf numFmtId="43" fontId="3" fillId="0" borderId="80" xfId="0" applyNumberFormat="1" applyFont="1" applyFill="1" applyBorder="1" applyAlignment="1">
      <alignment horizontal="right" wrapText="1"/>
    </xf>
    <xf numFmtId="43" fontId="3" fillId="0" borderId="81" xfId="0" applyNumberFormat="1" applyFont="1" applyFill="1" applyBorder="1" applyAlignment="1">
      <alignment horizontal="right" wrapText="1"/>
    </xf>
    <xf numFmtId="43" fontId="7" fillId="24" borderId="81" xfId="0" applyNumberFormat="1" applyFont="1" applyFill="1" applyBorder="1" applyAlignment="1">
      <alignment horizontal="right" wrapText="1"/>
    </xf>
    <xf numFmtId="4" fontId="60" fillId="0" borderId="80" xfId="0" applyNumberFormat="1" applyFont="1" applyBorder="1"/>
    <xf numFmtId="4" fontId="3" fillId="0" borderId="80" xfId="0" applyNumberFormat="1" applyFont="1" applyBorder="1"/>
    <xf numFmtId="165" fontId="3" fillId="24" borderId="35" xfId="0" applyNumberFormat="1" applyFont="1" applyFill="1" applyBorder="1"/>
    <xf numFmtId="164" fontId="3" fillId="0" borderId="31" xfId="122" applyNumberFormat="1" applyFont="1" applyFill="1" applyBorder="1" applyAlignment="1">
      <alignment horizontal="right" vertical="top"/>
    </xf>
    <xf numFmtId="164" fontId="3" fillId="0" borderId="35" xfId="122" applyNumberFormat="1" applyFont="1" applyFill="1" applyBorder="1" applyAlignment="1">
      <alignment horizontal="right" vertical="top"/>
    </xf>
    <xf numFmtId="164" fontId="3" fillId="0" borderId="31" xfId="122" applyNumberFormat="1" applyFont="1" applyBorder="1" applyAlignment="1">
      <alignment horizontal="right" vertical="top"/>
    </xf>
    <xf numFmtId="164" fontId="3" fillId="0" borderId="35" xfId="122" applyNumberFormat="1" applyFont="1" applyBorder="1" applyAlignment="1">
      <alignment horizontal="right" vertical="top"/>
    </xf>
    <xf numFmtId="164" fontId="3" fillId="0" borderId="85" xfId="122" applyNumberFormat="1" applyFont="1" applyBorder="1" applyAlignment="1">
      <alignment horizontal="right" vertical="top"/>
    </xf>
    <xf numFmtId="166" fontId="3" fillId="0" borderId="25" xfId="0" applyNumberFormat="1" applyFont="1" applyFill="1" applyBorder="1" applyAlignment="1">
      <alignment horizontal="right" wrapText="1"/>
    </xf>
    <xf numFmtId="164" fontId="3" fillId="0" borderId="81" xfId="0" applyNumberFormat="1" applyFont="1" applyBorder="1"/>
    <xf numFmtId="164" fontId="3" fillId="0" borderId="0" xfId="0" applyNumberFormat="1" applyFont="1"/>
    <xf numFmtId="164" fontId="3" fillId="0" borderId="19" xfId="0" applyNumberFormat="1" applyFont="1" applyBorder="1"/>
    <xf numFmtId="164" fontId="3" fillId="0" borderId="49" xfId="122" applyNumberFormat="1" applyFont="1" applyBorder="1" applyAlignment="1">
      <alignment horizontal="right" vertical="top"/>
    </xf>
    <xf numFmtId="164" fontId="3" fillId="0" borderId="94" xfId="122" applyNumberFormat="1" applyFont="1" applyBorder="1" applyAlignment="1">
      <alignment horizontal="right" vertical="top"/>
    </xf>
    <xf numFmtId="164" fontId="3" fillId="0" borderId="95" xfId="122" applyNumberFormat="1" applyFont="1" applyBorder="1" applyAlignment="1">
      <alignment horizontal="right" vertical="top"/>
    </xf>
    <xf numFmtId="165" fontId="3" fillId="24" borderId="93" xfId="0" applyNumberFormat="1" applyFont="1" applyFill="1" applyBorder="1"/>
    <xf numFmtId="164" fontId="3" fillId="0" borderId="36" xfId="122" applyNumberFormat="1" applyFont="1" applyBorder="1" applyAlignment="1">
      <alignment horizontal="right" vertical="top"/>
    </xf>
    <xf numFmtId="164" fontId="3" fillId="0" borderId="45" xfId="122" applyNumberFormat="1" applyFont="1" applyBorder="1" applyAlignment="1">
      <alignment horizontal="right" vertical="top"/>
    </xf>
    <xf numFmtId="43" fontId="3" fillId="0" borderId="86" xfId="0" applyNumberFormat="1" applyFont="1" applyFill="1" applyBorder="1" applyAlignment="1">
      <alignment horizontal="right" wrapText="1"/>
    </xf>
    <xf numFmtId="43" fontId="3" fillId="24" borderId="86" xfId="0" applyNumberFormat="1" applyFont="1" applyFill="1" applyBorder="1" applyAlignment="1">
      <alignment horizontal="right" wrapText="1"/>
    </xf>
    <xf numFmtId="43" fontId="3" fillId="24" borderId="93" xfId="0" applyNumberFormat="1" applyFont="1" applyFill="1" applyBorder="1" applyAlignment="1">
      <alignment horizontal="right" wrapText="1"/>
    </xf>
    <xf numFmtId="43" fontId="7" fillId="24" borderId="86" xfId="0" applyNumberFormat="1" applyFont="1" applyFill="1" applyBorder="1" applyAlignment="1">
      <alignment horizontal="right" wrapText="1"/>
    </xf>
    <xf numFmtId="167" fontId="3" fillId="0" borderId="0" xfId="0" applyNumberFormat="1" applyFont="1"/>
    <xf numFmtId="4" fontId="55" fillId="0" borderId="0" xfId="0" applyNumberFormat="1" applyFont="1"/>
    <xf numFmtId="164" fontId="3" fillId="0" borderId="96" xfId="0" quotePrefix="1" applyNumberFormat="1" applyFont="1" applyBorder="1"/>
    <xf numFmtId="4" fontId="54" fillId="0" borderId="0" xfId="0" applyNumberFormat="1" applyFont="1"/>
    <xf numFmtId="164" fontId="0" fillId="0" borderId="96" xfId="0" applyNumberFormat="1" applyBorder="1"/>
    <xf numFmtId="0" fontId="34" fillId="24" borderId="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164" fontId="3" fillId="0" borderId="85" xfId="122" applyNumberFormat="1" applyFont="1" applyFill="1" applyBorder="1" applyAlignment="1">
      <alignment horizontal="right" vertical="top"/>
    </xf>
    <xf numFmtId="164" fontId="3" fillId="0" borderId="85" xfId="0" applyNumberFormat="1" applyFont="1" applyFill="1" applyBorder="1"/>
    <xf numFmtId="165" fontId="3" fillId="0" borderId="86" xfId="0" applyNumberFormat="1" applyFont="1" applyFill="1" applyBorder="1"/>
    <xf numFmtId="15" fontId="7" fillId="24" borderId="97" xfId="0" quotePrefix="1" applyNumberFormat="1" applyFont="1" applyFill="1" applyBorder="1" applyAlignment="1">
      <alignment horizontal="center" wrapText="1"/>
    </xf>
    <xf numFmtId="43" fontId="3" fillId="0" borderId="0" xfId="0" applyNumberFormat="1" applyFont="1"/>
    <xf numFmtId="0" fontId="4" fillId="0" borderId="0" xfId="0" applyFont="1"/>
    <xf numFmtId="4" fontId="4" fillId="0" borderId="0" xfId="0" applyNumberFormat="1" applyFont="1"/>
    <xf numFmtId="4" fontId="61" fillId="0" borderId="0" xfId="0" applyNumberFormat="1" applyFont="1"/>
    <xf numFmtId="0" fontId="34" fillId="24" borderId="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wrapText="1"/>
    </xf>
    <xf numFmtId="43" fontId="7" fillId="0" borderId="50" xfId="0" applyNumberFormat="1" applyFont="1" applyFill="1" applyBorder="1" applyAlignment="1">
      <alignment horizontal="right" wrapText="1"/>
    </xf>
    <xf numFmtId="165" fontId="3" fillId="0" borderId="31" xfId="0" applyNumberFormat="1" applyFont="1" applyFill="1" applyBorder="1"/>
    <xf numFmtId="4" fontId="7" fillId="0" borderId="96" xfId="0" applyNumberFormat="1" applyFont="1" applyFill="1" applyBorder="1"/>
    <xf numFmtId="4" fontId="3" fillId="0" borderId="96" xfId="0" applyNumberFormat="1" applyFont="1" applyFill="1" applyBorder="1"/>
    <xf numFmtId="164" fontId="3" fillId="24" borderId="55" xfId="0" applyNumberFormat="1" applyFont="1" applyFill="1" applyBorder="1"/>
    <xf numFmtId="14" fontId="30" fillId="0" borderId="44" xfId="35" applyNumberFormat="1" applyFont="1" applyBorder="1" applyAlignment="1">
      <alignment horizontal="center"/>
    </xf>
    <xf numFmtId="14" fontId="30" fillId="0" borderId="45" xfId="35" applyNumberFormat="1" applyFont="1" applyBorder="1" applyAlignment="1">
      <alignment horizontal="center"/>
    </xf>
    <xf numFmtId="0" fontId="7" fillId="24" borderId="10" xfId="0" applyFont="1" applyFill="1" applyBorder="1" applyAlignment="1">
      <alignment wrapText="1"/>
    </xf>
    <xf numFmtId="4" fontId="3" fillId="24" borderId="0" xfId="0" applyNumberFormat="1" applyFont="1" applyFill="1"/>
    <xf numFmtId="0" fontId="3" fillId="24" borderId="0" xfId="0" applyFont="1" applyFill="1" applyBorder="1" applyAlignment="1">
      <alignment horizontal="left" vertical="center" wrapText="1"/>
    </xf>
    <xf numFmtId="43" fontId="3" fillId="0" borderId="18" xfId="0" applyNumberFormat="1" applyFont="1" applyFill="1" applyBorder="1" applyAlignment="1">
      <alignment horizontal="right" wrapText="1"/>
    </xf>
    <xf numFmtId="43" fontId="3" fillId="0" borderId="55" xfId="0" applyNumberFormat="1" applyFont="1" applyFill="1" applyBorder="1" applyAlignment="1">
      <alignment horizontal="right" wrapText="1"/>
    </xf>
    <xf numFmtId="43" fontId="3" fillId="24" borderId="18" xfId="0" applyNumberFormat="1" applyFont="1" applyFill="1" applyBorder="1" applyAlignment="1">
      <alignment horizontal="right" wrapText="1"/>
    </xf>
    <xf numFmtId="43" fontId="3" fillId="24" borderId="55" xfId="0" applyNumberFormat="1" applyFont="1" applyFill="1" applyBorder="1" applyAlignment="1">
      <alignment horizontal="right" wrapText="1"/>
    </xf>
    <xf numFmtId="43" fontId="3" fillId="24" borderId="27" xfId="0" applyNumberFormat="1" applyFont="1" applyFill="1" applyBorder="1" applyAlignment="1">
      <alignment horizontal="right" wrapText="1"/>
    </xf>
    <xf numFmtId="43" fontId="3" fillId="24" borderId="50" xfId="0" applyNumberFormat="1" applyFont="1" applyFill="1" applyBorder="1" applyAlignment="1">
      <alignment horizontal="right" wrapText="1"/>
    </xf>
    <xf numFmtId="43" fontId="7" fillId="24" borderId="18" xfId="0" applyNumberFormat="1" applyFont="1" applyFill="1" applyBorder="1" applyAlignment="1">
      <alignment horizontal="right" wrapText="1"/>
    </xf>
    <xf numFmtId="43" fontId="7" fillId="24" borderId="55" xfId="0" applyNumberFormat="1" applyFont="1" applyFill="1" applyBorder="1" applyAlignment="1">
      <alignment horizontal="right" wrapText="1"/>
    </xf>
    <xf numFmtId="0" fontId="3" fillId="24" borderId="0" xfId="0" applyFont="1" applyFill="1" applyBorder="1" applyAlignment="1">
      <alignment horizontal="left" wrapText="1"/>
    </xf>
    <xf numFmtId="0" fontId="3" fillId="24" borderId="0" xfId="0" applyFont="1" applyFill="1" applyBorder="1" applyAlignment="1">
      <alignment horizontal="center" wrapText="1"/>
    </xf>
    <xf numFmtId="43" fontId="3" fillId="24" borderId="0" xfId="0" applyNumberFormat="1" applyFont="1" applyFill="1" applyBorder="1" applyAlignment="1">
      <alignment wrapText="1"/>
    </xf>
    <xf numFmtId="4" fontId="7" fillId="24" borderId="37" xfId="0" applyNumberFormat="1" applyFont="1" applyFill="1" applyBorder="1" applyAlignment="1">
      <alignment horizontal="center" wrapText="1"/>
    </xf>
    <xf numFmtId="165" fontId="3" fillId="24" borderId="55" xfId="0" applyNumberFormat="1" applyFont="1" applyFill="1" applyBorder="1"/>
    <xf numFmtId="164" fontId="3" fillId="24" borderId="59" xfId="0" applyNumberFormat="1" applyFont="1" applyFill="1" applyBorder="1"/>
    <xf numFmtId="165" fontId="3" fillId="0" borderId="55" xfId="0" applyNumberFormat="1" applyFont="1" applyFill="1" applyBorder="1"/>
    <xf numFmtId="165" fontId="3" fillId="24" borderId="51" xfId="0" applyNumberFormat="1" applyFont="1" applyFill="1" applyBorder="1"/>
    <xf numFmtId="165" fontId="3" fillId="0" borderId="36" xfId="0" applyNumberFormat="1" applyFont="1" applyFill="1" applyBorder="1"/>
    <xf numFmtId="4" fontId="3" fillId="24" borderId="27" xfId="0" applyNumberFormat="1" applyFont="1" applyFill="1" applyBorder="1" applyAlignment="1">
      <alignment horizontal="center" wrapText="1"/>
    </xf>
    <xf numFmtId="4" fontId="3" fillId="24" borderId="28" xfId="0" applyNumberFormat="1" applyFont="1" applyFill="1" applyBorder="1" applyAlignment="1">
      <alignment horizontal="center" wrapText="1"/>
    </xf>
    <xf numFmtId="0" fontId="7" fillId="24" borderId="29" xfId="0" applyFont="1" applyFill="1" applyBorder="1" applyAlignment="1">
      <alignment horizontal="center" wrapText="1"/>
    </xf>
    <xf numFmtId="0" fontId="7" fillId="24" borderId="53" xfId="0" applyFont="1" applyFill="1" applyBorder="1" applyAlignment="1">
      <alignment horizontal="center" wrapText="1"/>
    </xf>
    <xf numFmtId="0" fontId="5" fillId="24" borderId="0" xfId="0" applyFont="1" applyFill="1" applyBorder="1" applyAlignment="1">
      <alignment horizontal="center"/>
    </xf>
    <xf numFmtId="0" fontId="34" fillId="24" borderId="0" xfId="0" applyFont="1" applyFill="1" applyBorder="1" applyAlignment="1">
      <alignment horizontal="left"/>
    </xf>
    <xf numFmtId="0" fontId="34" fillId="24" borderId="0" xfId="0" applyFont="1" applyFill="1" applyBorder="1" applyAlignment="1">
      <alignment horizontal="left" vertical="center" wrapText="1"/>
    </xf>
    <xf numFmtId="0" fontId="5" fillId="24" borderId="47" xfId="0" applyFont="1" applyFill="1" applyBorder="1" applyAlignment="1">
      <alignment horizontal="center" wrapText="1"/>
    </xf>
    <xf numFmtId="0" fontId="5" fillId="24" borderId="0" xfId="0" applyFont="1" applyFill="1" applyBorder="1" applyAlignment="1">
      <alignment horizontal="center" wrapText="1"/>
    </xf>
    <xf numFmtId="0" fontId="5" fillId="24" borderId="0" xfId="0" applyFont="1" applyFill="1" applyAlignment="1">
      <alignment horizontal="center" wrapText="1"/>
    </xf>
    <xf numFmtId="0" fontId="0" fillId="0" borderId="0" xfId="0" applyAlignment="1"/>
    <xf numFmtId="0" fontId="0" fillId="0" borderId="47" xfId="0" applyBorder="1" applyAlignment="1">
      <alignment horizontal="center" wrapText="1"/>
    </xf>
    <xf numFmtId="0" fontId="7" fillId="24" borderId="10" xfId="0" applyFont="1" applyFill="1" applyBorder="1" applyAlignment="1">
      <alignment wrapText="1"/>
    </xf>
    <xf numFmtId="0" fontId="7" fillId="24" borderId="11" xfId="0" applyFont="1" applyFill="1" applyBorder="1" applyAlignment="1">
      <alignment wrapText="1"/>
    </xf>
    <xf numFmtId="0" fontId="7" fillId="24" borderId="54" xfId="0" applyFont="1" applyFill="1" applyBorder="1" applyAlignment="1">
      <alignment wrapText="1"/>
    </xf>
    <xf numFmtId="0" fontId="7" fillId="24" borderId="56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47" xfId="0" applyBorder="1" applyAlignment="1">
      <alignment wrapText="1"/>
    </xf>
    <xf numFmtId="0" fontId="3" fillId="0" borderId="0" xfId="0" applyFont="1" applyAlignment="1">
      <alignment wrapText="1"/>
    </xf>
    <xf numFmtId="0" fontId="3" fillId="0" borderId="47" xfId="0" applyFont="1" applyBorder="1" applyAlignment="1">
      <alignment wrapText="1"/>
    </xf>
    <xf numFmtId="0" fontId="3" fillId="0" borderId="47" xfId="0" applyFont="1" applyBorder="1" applyAlignment="1">
      <alignment horizontal="center" wrapText="1"/>
    </xf>
    <xf numFmtId="0" fontId="3" fillId="0" borderId="0" xfId="0" applyFont="1" applyAlignment="1"/>
    <xf numFmtId="0" fontId="7" fillId="24" borderId="13" xfId="0" applyFont="1" applyFill="1" applyBorder="1" applyAlignment="1">
      <alignment wrapText="1"/>
    </xf>
    <xf numFmtId="0" fontId="7" fillId="24" borderId="10" xfId="0" applyFont="1" applyFill="1" applyBorder="1" applyAlignment="1">
      <alignment horizontal="center" wrapText="1"/>
    </xf>
    <xf numFmtId="0" fontId="7" fillId="24" borderId="13" xfId="0" applyFont="1" applyFill="1" applyBorder="1" applyAlignment="1">
      <alignment horizontal="center" wrapText="1"/>
    </xf>
  </cellXfs>
  <cellStyles count="127">
    <cellStyle name="=D:\WINNT\SYSTEM32\COMMAND.COM" xfId="102"/>
    <cellStyle name="20% - Accent1" xfId="57"/>
    <cellStyle name="20% - Accent2" xfId="58"/>
    <cellStyle name="20% - Accent3" xfId="59"/>
    <cellStyle name="20% - Accent4" xfId="60"/>
    <cellStyle name="20% - Accent5" xfId="61"/>
    <cellStyle name="20% - Accent6" xfId="62"/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ccent1" xfId="75"/>
    <cellStyle name="Accent2" xfId="76"/>
    <cellStyle name="Accent3" xfId="77"/>
    <cellStyle name="Accent4" xfId="78"/>
    <cellStyle name="Accent5" xfId="79"/>
    <cellStyle name="Accent6" xfId="80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Bad" xfId="81"/>
    <cellStyle name="Calculation" xfId="82"/>
    <cellStyle name="Check Cell" xfId="83"/>
    <cellStyle name="Dane wejściowe" xfId="25" builtinId="20" customBuiltin="1"/>
    <cellStyle name="Dane wejściowe 2" xfId="49"/>
    <cellStyle name="Dane wejściowe 2 2" xfId="55"/>
    <cellStyle name="Dane wejściowe 2 2 2" xfId="103"/>
    <cellStyle name="Dane wejściowe 2 3" xfId="113"/>
    <cellStyle name="Dane wejściowe 3" xfId="118"/>
    <cellStyle name="Dane wyjściowe" xfId="26" builtinId="21" customBuiltin="1"/>
    <cellStyle name="Dane wyjściowe 2" xfId="48"/>
    <cellStyle name="Dane wyjściowe 2 2" xfId="54"/>
    <cellStyle name="Dane wyjściowe 2 2 2" xfId="104"/>
    <cellStyle name="Dane wyjściowe 2 3" xfId="114"/>
    <cellStyle name="Dane wyjściowe 3" xfId="109"/>
    <cellStyle name="Dobry" xfId="27" builtinId="26" customBuiltin="1"/>
    <cellStyle name="Explanatory Text" xfId="84"/>
    <cellStyle name="Good" xfId="85"/>
    <cellStyle name="Heading 1" xfId="86"/>
    <cellStyle name="Heading 2" xfId="87"/>
    <cellStyle name="Heading 3" xfId="88"/>
    <cellStyle name="Heading 4" xfId="89"/>
    <cellStyle name="Input" xfId="90"/>
    <cellStyle name="Komórka połączona" xfId="28" builtinId="24" customBuiltin="1"/>
    <cellStyle name="Komórka zaznaczona" xfId="29" builtinId="23" customBuiltin="1"/>
    <cellStyle name="Linked Cell" xfId="9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" xfId="92"/>
    <cellStyle name="Neutralny" xfId="34" builtinId="28" customBuiltin="1"/>
    <cellStyle name="Normalny" xfId="0" builtinId="0"/>
    <cellStyle name="Normalny 2" xfId="44"/>
    <cellStyle name="Normalny 2 2" xfId="124"/>
    <cellStyle name="Normalny 3" xfId="50"/>
    <cellStyle name="Normalny 3 2" xfId="123"/>
    <cellStyle name="Normalny 4" xfId="56"/>
    <cellStyle name="Normalny 4 2" xfId="112"/>
    <cellStyle name="Normalny 5" xfId="98"/>
    <cellStyle name="Normalny 5 2" xfId="119"/>
    <cellStyle name="Normalny 6" xfId="101"/>
    <cellStyle name="Normalny 7" xfId="121"/>
    <cellStyle name="Normalny 8" xfId="125"/>
    <cellStyle name="Normalny_Arkusz1" xfId="35"/>
    <cellStyle name="Normalny_Arkusz1 2" xfId="122"/>
    <cellStyle name="Note" xfId="93"/>
    <cellStyle name="Note 2" xfId="99"/>
    <cellStyle name="Note 2 2" xfId="120"/>
    <cellStyle name="Note 3" xfId="100"/>
    <cellStyle name="Obliczenia" xfId="36" builtinId="22" customBuiltin="1"/>
    <cellStyle name="Obliczenia 2" xfId="47"/>
    <cellStyle name="Obliczenia 2 2" xfId="53"/>
    <cellStyle name="Obliczenia 2 2 2" xfId="105"/>
    <cellStyle name="Obliczenia 2 3" xfId="115"/>
    <cellStyle name="Obliczenia 3" xfId="117"/>
    <cellStyle name="Output" xfId="94"/>
    <cellStyle name="Procentowy" xfId="37" builtinId="5"/>
    <cellStyle name="Procentowy 2" xfId="126"/>
    <cellStyle name="Suma" xfId="38" builtinId="25" customBuiltin="1"/>
    <cellStyle name="Suma 2" xfId="46"/>
    <cellStyle name="Suma 2 2" xfId="52"/>
    <cellStyle name="Suma 2 2 2" xfId="106"/>
    <cellStyle name="Suma 2 3" xfId="108"/>
    <cellStyle name="Suma 3" xfId="116"/>
    <cellStyle name="Tekst objaśnienia" xfId="39" builtinId="53" customBuiltin="1"/>
    <cellStyle name="Tekst ostrzeżenia" xfId="40" builtinId="11" customBuiltin="1"/>
    <cellStyle name="Title" xfId="95"/>
    <cellStyle name="Total" xfId="96"/>
    <cellStyle name="Tytuł" xfId="41" builtinId="15" customBuiltin="1"/>
    <cellStyle name="Uwaga" xfId="42" builtinId="10" customBuiltin="1"/>
    <cellStyle name="Uwaga 2" xfId="45"/>
    <cellStyle name="Uwaga 2 2" xfId="51"/>
    <cellStyle name="Uwaga 2 2 2" xfId="107"/>
    <cellStyle name="Uwaga 2 3" xfId="111"/>
    <cellStyle name="Uwaga 3" xfId="110"/>
    <cellStyle name="Warning Text" xfId="97"/>
    <cellStyle name="Zły" xfId="43" builtinId="27" customBuiltin="1"/>
  </cellStyles>
  <dxfs count="0"/>
  <tableStyles count="0" defaultTableStyle="TableStyleMedium9" defaultPivotStyle="PivotStyleLight16"/>
  <colors>
    <mruColors>
      <color rgb="FF00FF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54" Type="http://schemas.openxmlformats.org/officeDocument/2006/relationships/worksheet" Target="worksheets/sheet154.xml"/><Relationship Id="rId159" Type="http://schemas.openxmlformats.org/officeDocument/2006/relationships/worksheet" Target="worksheets/sheet159.xml"/><Relationship Id="rId175" Type="http://schemas.openxmlformats.org/officeDocument/2006/relationships/sharedStrings" Target="sharedStrings.xml"/><Relationship Id="rId170" Type="http://schemas.openxmlformats.org/officeDocument/2006/relationships/worksheet" Target="worksheets/sheet170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worksheet" Target="worksheets/sheet144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65" Type="http://schemas.openxmlformats.org/officeDocument/2006/relationships/worksheet" Target="worksheets/sheet16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55" Type="http://schemas.openxmlformats.org/officeDocument/2006/relationships/worksheet" Target="worksheets/sheet155.xml"/><Relationship Id="rId171" Type="http://schemas.openxmlformats.org/officeDocument/2006/relationships/worksheet" Target="worksheets/sheet171.xml"/><Relationship Id="rId176" Type="http://schemas.openxmlformats.org/officeDocument/2006/relationships/calcChain" Target="calcChain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61" Type="http://schemas.openxmlformats.org/officeDocument/2006/relationships/worksheet" Target="worksheets/sheet161.xml"/><Relationship Id="rId166" Type="http://schemas.openxmlformats.org/officeDocument/2006/relationships/worksheet" Target="worksheets/sheet16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51" Type="http://schemas.openxmlformats.org/officeDocument/2006/relationships/worksheet" Target="worksheets/sheet151.xml"/><Relationship Id="rId156" Type="http://schemas.openxmlformats.org/officeDocument/2006/relationships/worksheet" Target="worksheets/sheet156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72" Type="http://schemas.openxmlformats.org/officeDocument/2006/relationships/worksheet" Target="worksheets/sheet172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worksheet" Target="worksheets/sheet16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styles" Target="styles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3.bin"/></Relationships>
</file>

<file path=xl/worksheets/_rels/sheet1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4.bin"/></Relationships>
</file>

<file path=xl/worksheets/_rels/sheet1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5.bin"/></Relationships>
</file>

<file path=xl/worksheets/_rels/sheet1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7.bin"/></Relationships>
</file>

<file path=xl/worksheets/_rels/sheet1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M81"/>
  <sheetViews>
    <sheetView tabSelected="1" zoomScale="80" zoomScaleNormal="80" workbookViewId="0">
      <selection activeCell="H29" sqref="H29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10" max="10" width="16" bestFit="1" customWidth="1"/>
    <col min="12" max="12" width="16.140625" bestFit="1" customWidth="1"/>
    <col min="13" max="13" width="14.42578125" bestFit="1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85"/>
      <c r="C4" s="85"/>
      <c r="D4" s="85"/>
      <c r="E4" s="85"/>
    </row>
    <row r="5" spans="2:5" ht="14.25">
      <c r="B5" s="358" t="s">
        <v>1</v>
      </c>
      <c r="C5" s="358"/>
      <c r="D5" s="358"/>
      <c r="E5" s="358"/>
    </row>
    <row r="6" spans="2:5" ht="14.25" customHeight="1">
      <c r="B6" s="359" t="s">
        <v>84</v>
      </c>
      <c r="C6" s="359"/>
      <c r="D6" s="359"/>
      <c r="E6" s="359"/>
    </row>
    <row r="7" spans="2:5" ht="14.25">
      <c r="B7" s="169"/>
      <c r="C7" s="169"/>
      <c r="D7" s="169"/>
      <c r="E7" s="169"/>
    </row>
    <row r="8" spans="2:5" ht="12.75" customHeight="1">
      <c r="B8" s="361" t="s">
        <v>18</v>
      </c>
      <c r="C8" s="361"/>
      <c r="D8" s="361"/>
      <c r="E8" s="361"/>
    </row>
    <row r="9" spans="2:5" ht="15.75" customHeight="1" thickBot="1">
      <c r="B9" s="360" t="s">
        <v>103</v>
      </c>
      <c r="C9" s="360"/>
      <c r="D9" s="360"/>
      <c r="E9" s="360"/>
    </row>
    <row r="10" spans="2:5" ht="13.5" thickBot="1">
      <c r="B10" s="170"/>
      <c r="C10" s="76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94" t="s">
        <v>109</v>
      </c>
      <c r="D11" s="243">
        <v>195733005.50999999</v>
      </c>
      <c r="E11" s="244">
        <f>SUM(E12:E14)</f>
        <v>156907908.44</v>
      </c>
    </row>
    <row r="12" spans="2:5">
      <c r="B12" s="106" t="s">
        <v>4</v>
      </c>
      <c r="C12" s="68" t="s">
        <v>5</v>
      </c>
      <c r="D12" s="283">
        <v>195733005.50999999</v>
      </c>
      <c r="E12" s="304">
        <f>164990485.2+39555.87-8122132.63</f>
        <v>156907908.44</v>
      </c>
    </row>
    <row r="13" spans="2:5" ht="12.75" customHeight="1">
      <c r="B13" s="106" t="s">
        <v>6</v>
      </c>
      <c r="C13" s="68" t="s">
        <v>7</v>
      </c>
      <c r="D13" s="276"/>
      <c r="E13" s="305"/>
    </row>
    <row r="14" spans="2:5">
      <c r="B14" s="106" t="s">
        <v>8</v>
      </c>
      <c r="C14" s="68" t="s">
        <v>10</v>
      </c>
      <c r="D14" s="276"/>
      <c r="E14" s="305"/>
    </row>
    <row r="15" spans="2:5">
      <c r="B15" s="106" t="s">
        <v>106</v>
      </c>
      <c r="C15" s="68" t="s">
        <v>11</v>
      </c>
      <c r="D15" s="276"/>
      <c r="E15" s="305"/>
    </row>
    <row r="16" spans="2:5">
      <c r="B16" s="107" t="s">
        <v>107</v>
      </c>
      <c r="C16" s="91" t="s">
        <v>12</v>
      </c>
      <c r="D16" s="278"/>
      <c r="E16" s="306"/>
    </row>
    <row r="17" spans="2:6">
      <c r="B17" s="9" t="s">
        <v>13</v>
      </c>
      <c r="C17" s="216" t="s">
        <v>65</v>
      </c>
      <c r="D17" s="279">
        <v>1562387.54</v>
      </c>
      <c r="E17" s="307">
        <f>E18</f>
        <v>538113.80000000005</v>
      </c>
    </row>
    <row r="18" spans="2:6">
      <c r="B18" s="106" t="s">
        <v>4</v>
      </c>
      <c r="C18" s="68" t="s">
        <v>11</v>
      </c>
      <c r="D18" s="278">
        <v>1562387.54</v>
      </c>
      <c r="E18" s="306">
        <v>538113.80000000005</v>
      </c>
    </row>
    <row r="19" spans="2:6" ht="15" customHeight="1">
      <c r="B19" s="106" t="s">
        <v>6</v>
      </c>
      <c r="C19" s="68" t="s">
        <v>108</v>
      </c>
      <c r="D19" s="276"/>
      <c r="E19" s="305"/>
    </row>
    <row r="20" spans="2:6" ht="13.5" thickBot="1">
      <c r="B20" s="108" t="s">
        <v>8</v>
      </c>
      <c r="C20" s="69" t="s">
        <v>14</v>
      </c>
      <c r="D20" s="245"/>
      <c r="E20" s="246"/>
    </row>
    <row r="21" spans="2:6" ht="13.5" customHeight="1" thickBot="1">
      <c r="B21" s="365" t="s">
        <v>110</v>
      </c>
      <c r="C21" s="366"/>
      <c r="D21" s="247">
        <v>194170617.97</v>
      </c>
      <c r="E21" s="148">
        <f>E11-E17</f>
        <v>156369794.63999999</v>
      </c>
      <c r="F21" s="77"/>
    </row>
    <row r="22" spans="2:6">
      <c r="B22" s="3"/>
      <c r="C22" s="7"/>
      <c r="D22" s="8"/>
      <c r="E22" s="8"/>
    </row>
    <row r="23" spans="2:6" ht="14.25" customHeight="1">
      <c r="B23" s="361" t="s">
        <v>104</v>
      </c>
      <c r="C23" s="361"/>
      <c r="D23" s="361"/>
      <c r="E23" s="361"/>
    </row>
    <row r="24" spans="2:6" ht="16.5" customHeight="1" thickBot="1">
      <c r="B24" s="360" t="s">
        <v>105</v>
      </c>
      <c r="C24" s="360"/>
      <c r="D24" s="360"/>
      <c r="E24" s="360"/>
    </row>
    <row r="25" spans="2:6" ht="13.5" thickBot="1">
      <c r="B25" s="170"/>
      <c r="C25" s="5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53">
        <v>227118285.27999997</v>
      </c>
      <c r="E26" s="254">
        <f>D21</f>
        <v>194170617.97</v>
      </c>
      <c r="F26" s="156"/>
    </row>
    <row r="27" spans="2:6">
      <c r="B27" s="9" t="s">
        <v>17</v>
      </c>
      <c r="C27" s="10" t="s">
        <v>111</v>
      </c>
      <c r="D27" s="255">
        <v>-33122058.530000001</v>
      </c>
      <c r="E27" s="224">
        <f>E28-E32</f>
        <v>-38055607.910000041</v>
      </c>
      <c r="F27" s="158"/>
    </row>
    <row r="28" spans="2:6">
      <c r="B28" s="9" t="s">
        <v>18</v>
      </c>
      <c r="C28" s="10" t="s">
        <v>19</v>
      </c>
      <c r="D28" s="255">
        <v>6369805.71</v>
      </c>
      <c r="E28" s="225">
        <v>7431752.1400000006</v>
      </c>
      <c r="F28" s="158"/>
    </row>
    <row r="29" spans="2:6">
      <c r="B29" s="104" t="s">
        <v>4</v>
      </c>
      <c r="C29" s="6" t="s">
        <v>20</v>
      </c>
      <c r="D29" s="256">
        <v>4740576.58</v>
      </c>
      <c r="E29" s="226">
        <v>5029197.8000000007</v>
      </c>
      <c r="F29" s="158"/>
    </row>
    <row r="30" spans="2:6">
      <c r="B30" s="104" t="s">
        <v>6</v>
      </c>
      <c r="C30" s="6" t="s">
        <v>21</v>
      </c>
      <c r="D30" s="256"/>
      <c r="E30" s="226"/>
      <c r="F30" s="158"/>
    </row>
    <row r="31" spans="2:6">
      <c r="B31" s="104" t="s">
        <v>8</v>
      </c>
      <c r="C31" s="6" t="s">
        <v>22</v>
      </c>
      <c r="D31" s="256">
        <v>1629229.13</v>
      </c>
      <c r="E31" s="226">
        <v>2402554.34</v>
      </c>
      <c r="F31" s="158"/>
    </row>
    <row r="32" spans="2:6">
      <c r="B32" s="92" t="s">
        <v>23</v>
      </c>
      <c r="C32" s="11" t="s">
        <v>24</v>
      </c>
      <c r="D32" s="255">
        <v>39491864.240000002</v>
      </c>
      <c r="E32" s="225">
        <f>SUM(E33:E39)</f>
        <v>45487360.050000042</v>
      </c>
      <c r="F32" s="158"/>
    </row>
    <row r="33" spans="2:13">
      <c r="B33" s="104" t="s">
        <v>4</v>
      </c>
      <c r="C33" s="6" t="s">
        <v>25</v>
      </c>
      <c r="D33" s="256">
        <v>36833268.219999999</v>
      </c>
      <c r="E33" s="226">
        <f>44396416.23-2619845.33</f>
        <v>41776570.899999999</v>
      </c>
      <c r="F33" s="158"/>
    </row>
    <row r="34" spans="2:13">
      <c r="B34" s="104" t="s">
        <v>6</v>
      </c>
      <c r="C34" s="6" t="s">
        <v>26</v>
      </c>
      <c r="D34" s="256"/>
      <c r="E34" s="226"/>
      <c r="F34" s="158"/>
    </row>
    <row r="35" spans="2:13">
      <c r="B35" s="104" t="s">
        <v>8</v>
      </c>
      <c r="C35" s="6" t="s">
        <v>27</v>
      </c>
      <c r="D35" s="256">
        <v>1850150.43</v>
      </c>
      <c r="E35" s="226">
        <v>1498992.47</v>
      </c>
      <c r="F35" s="158"/>
    </row>
    <row r="36" spans="2:13">
      <c r="B36" s="104" t="s">
        <v>9</v>
      </c>
      <c r="C36" s="6" t="s">
        <v>28</v>
      </c>
      <c r="D36" s="256"/>
      <c r="E36" s="226"/>
      <c r="F36" s="158"/>
    </row>
    <row r="37" spans="2:13" ht="25.5">
      <c r="B37" s="104" t="s">
        <v>29</v>
      </c>
      <c r="C37" s="6" t="s">
        <v>30</v>
      </c>
      <c r="D37" s="256"/>
      <c r="E37" s="226"/>
      <c r="F37" s="158"/>
      <c r="J37" s="308"/>
    </row>
    <row r="38" spans="2:13">
      <c r="B38" s="104" t="s">
        <v>31</v>
      </c>
      <c r="C38" s="6" t="s">
        <v>32</v>
      </c>
      <c r="D38" s="256"/>
      <c r="E38" s="226"/>
      <c r="F38" s="158"/>
      <c r="J38" s="193"/>
    </row>
    <row r="39" spans="2:13">
      <c r="B39" s="105" t="s">
        <v>33</v>
      </c>
      <c r="C39" s="12" t="s">
        <v>34</v>
      </c>
      <c r="D39" s="257">
        <v>808445.59</v>
      </c>
      <c r="E39" s="227">
        <v>2211796.6800000416</v>
      </c>
      <c r="F39" s="158"/>
      <c r="J39" s="71"/>
      <c r="L39" s="67"/>
      <c r="M39" s="67"/>
    </row>
    <row r="40" spans="2:13" ht="13.5" thickBot="1">
      <c r="B40" s="97" t="s">
        <v>35</v>
      </c>
      <c r="C40" s="98" t="s">
        <v>36</v>
      </c>
      <c r="D40" s="258">
        <v>174391.22</v>
      </c>
      <c r="E40" s="326">
        <v>254784.58</v>
      </c>
      <c r="F40" s="156"/>
    </row>
    <row r="41" spans="2:13" ht="13.5" thickBot="1">
      <c r="B41" s="99" t="s">
        <v>37</v>
      </c>
      <c r="C41" s="100" t="s">
        <v>38</v>
      </c>
      <c r="D41" s="259">
        <v>194170617.96999997</v>
      </c>
      <c r="E41" s="228">
        <f>E26+E27+E40</f>
        <v>156369794.63999996</v>
      </c>
      <c r="F41" s="160"/>
    </row>
    <row r="42" spans="2:13" ht="13.5" customHeight="1">
      <c r="B42" s="93"/>
      <c r="C42" s="93"/>
      <c r="D42" s="94"/>
      <c r="E42" s="94"/>
      <c r="F42" s="77"/>
    </row>
    <row r="43" spans="2:13" ht="13.5">
      <c r="B43" s="362" t="s">
        <v>60</v>
      </c>
      <c r="C43" s="363"/>
      <c r="D43" s="363"/>
      <c r="E43" s="363"/>
    </row>
    <row r="44" spans="2:13" ht="19.5" customHeight="1" thickBot="1">
      <c r="B44" s="360" t="s">
        <v>121</v>
      </c>
      <c r="C44" s="364"/>
      <c r="D44" s="364"/>
      <c r="E44" s="364"/>
    </row>
    <row r="45" spans="2:13" ht="13.5" thickBot="1">
      <c r="B45" s="4"/>
      <c r="C45" s="29" t="s">
        <v>39</v>
      </c>
      <c r="D45" s="70" t="s">
        <v>125</v>
      </c>
      <c r="E45" s="319" t="s">
        <v>268</v>
      </c>
    </row>
    <row r="46" spans="2:13">
      <c r="B46" s="13" t="s">
        <v>18</v>
      </c>
      <c r="C46" s="30" t="s">
        <v>112</v>
      </c>
      <c r="D46" s="161"/>
      <c r="E46" s="162"/>
    </row>
    <row r="47" spans="2:13">
      <c r="B47" s="102" t="s">
        <v>4</v>
      </c>
      <c r="C47" s="15" t="s">
        <v>40</v>
      </c>
      <c r="D47" s="248">
        <v>10073175.2467</v>
      </c>
      <c r="E47" s="249">
        <v>8601364.3599500004</v>
      </c>
    </row>
    <row r="48" spans="2:13">
      <c r="B48" s="123" t="s">
        <v>6</v>
      </c>
      <c r="C48" s="22" t="s">
        <v>41</v>
      </c>
      <c r="D48" s="248">
        <v>8601364.3599500004</v>
      </c>
      <c r="E48" s="229">
        <v>6977385.5436999993</v>
      </c>
    </row>
    <row r="49" spans="2:5">
      <c r="B49" s="120" t="s">
        <v>23</v>
      </c>
      <c r="C49" s="124" t="s">
        <v>113</v>
      </c>
      <c r="D49" s="250"/>
      <c r="E49" s="163"/>
    </row>
    <row r="50" spans="2:5">
      <c r="B50" s="102" t="s">
        <v>4</v>
      </c>
      <c r="C50" s="15" t="s">
        <v>40</v>
      </c>
      <c r="D50" s="248">
        <v>22.5468414593803</v>
      </c>
      <c r="E50" s="251">
        <v>22.574397484430001</v>
      </c>
    </row>
    <row r="51" spans="2:5">
      <c r="B51" s="102" t="s">
        <v>6</v>
      </c>
      <c r="C51" s="15" t="s">
        <v>114</v>
      </c>
      <c r="D51" s="248">
        <v>22.381699999999999</v>
      </c>
      <c r="E51" s="327">
        <v>22.301200000000001</v>
      </c>
    </row>
    <row r="52" spans="2:5">
      <c r="B52" s="102" t="s">
        <v>8</v>
      </c>
      <c r="C52" s="15" t="s">
        <v>115</v>
      </c>
      <c r="D52" s="248">
        <v>22.574400000000001</v>
      </c>
      <c r="E52" s="327">
        <v>22.574400000000001</v>
      </c>
    </row>
    <row r="53" spans="2:5" ht="13.5" thickBot="1">
      <c r="B53" s="103" t="s">
        <v>9</v>
      </c>
      <c r="C53" s="17" t="s">
        <v>41</v>
      </c>
      <c r="D53" s="252">
        <v>22.574397484430001</v>
      </c>
      <c r="E53" s="230">
        <v>22.410900000000002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5.7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D59+D61+D69</f>
        <v>156907908.44</v>
      </c>
      <c r="E58" s="31">
        <f>D58/E21</f>
        <v>1.0034412899322331</v>
      </c>
    </row>
    <row r="59" spans="2:5" ht="25.5">
      <c r="B59" s="123" t="s">
        <v>4</v>
      </c>
      <c r="C59" s="22" t="s">
        <v>44</v>
      </c>
      <c r="D59" s="80">
        <f>55466400-8122132.63</f>
        <v>47344267.369999997</v>
      </c>
      <c r="E59" s="81">
        <f>D59/E21</f>
        <v>0.30277118083449317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86" t="s">
        <v>46</v>
      </c>
      <c r="D61" s="78">
        <v>109524085.2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v>0</v>
      </c>
      <c r="E64" s="81">
        <v>0</v>
      </c>
    </row>
    <row r="65" spans="2:5" ht="13.5" customHeight="1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39555.870000000003</v>
      </c>
      <c r="E69" s="79">
        <f>D69/E21</f>
        <v>2.5296362440755847E-4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f>E13</f>
        <v>0</v>
      </c>
      <c r="E71" s="66">
        <f>D71/E21</f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f>D72/E21</f>
        <v>0</v>
      </c>
    </row>
    <row r="73" spans="2:5">
      <c r="B73" s="132" t="s">
        <v>62</v>
      </c>
      <c r="C73" s="24" t="s">
        <v>65</v>
      </c>
      <c r="D73" s="25">
        <f>E17</f>
        <v>538113.80000000005</v>
      </c>
      <c r="E73" s="26">
        <f>D73/E21</f>
        <v>3.4412899322331684E-3</v>
      </c>
    </row>
    <row r="74" spans="2:5">
      <c r="B74" s="130" t="s">
        <v>64</v>
      </c>
      <c r="C74" s="121" t="s">
        <v>66</v>
      </c>
      <c r="D74" s="122">
        <f>D58-D73</f>
        <v>156369794.63999999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156369794.63999999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7:C57"/>
    <mergeCell ref="B2:E2"/>
    <mergeCell ref="B3:E3"/>
    <mergeCell ref="B5:E5"/>
    <mergeCell ref="B6:E6"/>
    <mergeCell ref="B9:E9"/>
    <mergeCell ref="B8:E8"/>
    <mergeCell ref="B23:E23"/>
    <mergeCell ref="B24:E24"/>
    <mergeCell ref="B43:E43"/>
    <mergeCell ref="B44:E44"/>
    <mergeCell ref="B55:E55"/>
    <mergeCell ref="B56:E56"/>
    <mergeCell ref="B21:C21"/>
  </mergeCells>
  <phoneticPr fontId="9" type="noConversion"/>
  <pageMargins left="0.47244094488188981" right="0.74803149606299213" top="0.47244094488188981" bottom="0.47244094488188981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F81"/>
  <sheetViews>
    <sheetView zoomScale="80" zoomScaleNormal="80" workbookViewId="0">
      <selection activeCell="D17" sqref="D17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85"/>
      <c r="C4" s="85"/>
      <c r="D4" s="85"/>
      <c r="E4" s="85"/>
    </row>
    <row r="5" spans="2:5" ht="21" customHeight="1">
      <c r="B5" s="358" t="s">
        <v>1</v>
      </c>
      <c r="C5" s="358"/>
      <c r="D5" s="358"/>
      <c r="E5" s="358"/>
    </row>
    <row r="6" spans="2:5" ht="14.25">
      <c r="B6" s="359" t="s">
        <v>90</v>
      </c>
      <c r="C6" s="359"/>
      <c r="D6" s="359"/>
      <c r="E6" s="359"/>
    </row>
    <row r="7" spans="2:5" ht="14.25">
      <c r="B7" s="89"/>
      <c r="C7" s="89"/>
      <c r="D7" s="89"/>
      <c r="E7" s="89"/>
    </row>
    <row r="8" spans="2:5" ht="13.5">
      <c r="B8" s="361" t="s">
        <v>18</v>
      </c>
      <c r="C8" s="363"/>
      <c r="D8" s="363"/>
      <c r="E8" s="363"/>
    </row>
    <row r="9" spans="2:5" ht="16.5" thickBot="1">
      <c r="B9" s="360" t="s">
        <v>103</v>
      </c>
      <c r="C9" s="360"/>
      <c r="D9" s="360"/>
      <c r="E9" s="360"/>
    </row>
    <row r="10" spans="2:5" ht="13.5" thickBot="1">
      <c r="B10" s="86"/>
      <c r="C10" s="76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28" t="s">
        <v>109</v>
      </c>
      <c r="D11" s="243">
        <v>16879503.780000001</v>
      </c>
      <c r="E11" s="244">
        <f>SUM(E12:E14)</f>
        <v>16982951.720000003</v>
      </c>
    </row>
    <row r="12" spans="2:5">
      <c r="B12" s="106" t="s">
        <v>4</v>
      </c>
      <c r="C12" s="6" t="s">
        <v>5</v>
      </c>
      <c r="D12" s="283">
        <v>16833052.57</v>
      </c>
      <c r="E12" s="304">
        <f>16752211.02+290370.19-127720.7</f>
        <v>16914860.510000002</v>
      </c>
    </row>
    <row r="13" spans="2:5">
      <c r="B13" s="106" t="s">
        <v>6</v>
      </c>
      <c r="C13" s="68" t="s">
        <v>7</v>
      </c>
      <c r="D13" s="276"/>
      <c r="E13" s="305"/>
    </row>
    <row r="14" spans="2:5">
      <c r="B14" s="106" t="s">
        <v>8</v>
      </c>
      <c r="C14" s="68" t="s">
        <v>10</v>
      </c>
      <c r="D14" s="276">
        <v>46451.21</v>
      </c>
      <c r="E14" s="305">
        <f>E15</f>
        <v>68091.210000000006</v>
      </c>
    </row>
    <row r="15" spans="2:5">
      <c r="B15" s="106" t="s">
        <v>106</v>
      </c>
      <c r="C15" s="68" t="s">
        <v>11</v>
      </c>
      <c r="D15" s="276">
        <v>46451.21</v>
      </c>
      <c r="E15" s="305">
        <v>68091.210000000006</v>
      </c>
    </row>
    <row r="16" spans="2:5">
      <c r="B16" s="107" t="s">
        <v>107</v>
      </c>
      <c r="C16" s="91" t="s">
        <v>12</v>
      </c>
      <c r="D16" s="278"/>
      <c r="E16" s="306"/>
    </row>
    <row r="17" spans="2:6">
      <c r="B17" s="9" t="s">
        <v>13</v>
      </c>
      <c r="C17" s="11" t="s">
        <v>65</v>
      </c>
      <c r="D17" s="279">
        <v>48433.15</v>
      </c>
      <c r="E17" s="307">
        <f>E18</f>
        <v>32269.11</v>
      </c>
    </row>
    <row r="18" spans="2:6">
      <c r="B18" s="106" t="s">
        <v>4</v>
      </c>
      <c r="C18" s="6" t="s">
        <v>11</v>
      </c>
      <c r="D18" s="278">
        <v>48433.15</v>
      </c>
      <c r="E18" s="306">
        <v>32269.11</v>
      </c>
    </row>
    <row r="19" spans="2:6" ht="15" customHeight="1">
      <c r="B19" s="106" t="s">
        <v>6</v>
      </c>
      <c r="C19" s="68" t="s">
        <v>108</v>
      </c>
      <c r="D19" s="276"/>
      <c r="E19" s="305"/>
    </row>
    <row r="20" spans="2:6" ht="13.5" thickBot="1">
      <c r="B20" s="108" t="s">
        <v>8</v>
      </c>
      <c r="C20" s="69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16831070.630000003</v>
      </c>
      <c r="E21" s="148">
        <f>E11-E17</f>
        <v>16950682.610000003</v>
      </c>
      <c r="F21" s="77"/>
    </row>
    <row r="22" spans="2:6">
      <c r="B22" s="3"/>
      <c r="C22" s="7"/>
      <c r="D22" s="8"/>
      <c r="E22" s="8"/>
    </row>
    <row r="23" spans="2:6" ht="15.75">
      <c r="B23" s="361"/>
      <c r="C23" s="369"/>
      <c r="D23" s="369"/>
      <c r="E23" s="369"/>
    </row>
    <row r="24" spans="2:6" ht="18" customHeight="1" thickBot="1">
      <c r="B24" s="360" t="s">
        <v>105</v>
      </c>
      <c r="C24" s="370"/>
      <c r="D24" s="370"/>
      <c r="E24" s="370"/>
    </row>
    <row r="25" spans="2:6" ht="13.5" thickBot="1">
      <c r="B25" s="86"/>
      <c r="C25" s="5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18485904.960000001</v>
      </c>
      <c r="E26" s="231">
        <f>D21</f>
        <v>16831070.630000003</v>
      </c>
    </row>
    <row r="27" spans="2:6">
      <c r="B27" s="9" t="s">
        <v>17</v>
      </c>
      <c r="C27" s="10" t="s">
        <v>111</v>
      </c>
      <c r="D27" s="202">
        <v>262372.67000000039</v>
      </c>
      <c r="E27" s="224">
        <f>E28-E32</f>
        <v>190846.29999999935</v>
      </c>
      <c r="F27" s="71"/>
    </row>
    <row r="28" spans="2:6">
      <c r="B28" s="9" t="s">
        <v>18</v>
      </c>
      <c r="C28" s="10" t="s">
        <v>19</v>
      </c>
      <c r="D28" s="202">
        <v>3550815.01</v>
      </c>
      <c r="E28" s="225">
        <v>3093400.06</v>
      </c>
      <c r="F28" s="71"/>
    </row>
    <row r="29" spans="2:6">
      <c r="B29" s="104" t="s">
        <v>4</v>
      </c>
      <c r="C29" s="6" t="s">
        <v>20</v>
      </c>
      <c r="D29" s="203">
        <v>3195920.63</v>
      </c>
      <c r="E29" s="226">
        <v>2886844.3899999997</v>
      </c>
      <c r="F29" s="71"/>
    </row>
    <row r="30" spans="2:6">
      <c r="B30" s="104" t="s">
        <v>6</v>
      </c>
      <c r="C30" s="6" t="s">
        <v>21</v>
      </c>
      <c r="D30" s="203"/>
      <c r="E30" s="226"/>
      <c r="F30" s="71"/>
    </row>
    <row r="31" spans="2:6">
      <c r="B31" s="104" t="s">
        <v>8</v>
      </c>
      <c r="C31" s="6" t="s">
        <v>22</v>
      </c>
      <c r="D31" s="203">
        <v>354894.38</v>
      </c>
      <c r="E31" s="226">
        <v>206555.67</v>
      </c>
      <c r="F31" s="71"/>
    </row>
    <row r="32" spans="2:6">
      <c r="B32" s="92" t="s">
        <v>23</v>
      </c>
      <c r="C32" s="11" t="s">
        <v>24</v>
      </c>
      <c r="D32" s="202">
        <v>3288442.3399999994</v>
      </c>
      <c r="E32" s="225">
        <f>SUM(E33:E39)</f>
        <v>2902553.7600000007</v>
      </c>
      <c r="F32" s="71"/>
    </row>
    <row r="33" spans="2:6">
      <c r="B33" s="104" t="s">
        <v>4</v>
      </c>
      <c r="C33" s="6" t="s">
        <v>25</v>
      </c>
      <c r="D33" s="203">
        <v>2428455.4099999997</v>
      </c>
      <c r="E33" s="226">
        <f>2059699.63-56915.02</f>
        <v>2002784.6099999999</v>
      </c>
      <c r="F33" s="71"/>
    </row>
    <row r="34" spans="2:6">
      <c r="B34" s="104" t="s">
        <v>6</v>
      </c>
      <c r="C34" s="6" t="s">
        <v>26</v>
      </c>
      <c r="D34" s="203"/>
      <c r="E34" s="226"/>
      <c r="F34" s="71"/>
    </row>
    <row r="35" spans="2:6">
      <c r="B35" s="104" t="s">
        <v>8</v>
      </c>
      <c r="C35" s="6" t="s">
        <v>27</v>
      </c>
      <c r="D35" s="203">
        <v>501039.69999999995</v>
      </c>
      <c r="E35" s="226">
        <v>478207.34</v>
      </c>
      <c r="F35" s="71"/>
    </row>
    <row r="36" spans="2:6">
      <c r="B36" s="104" t="s">
        <v>9</v>
      </c>
      <c r="C36" s="6" t="s">
        <v>28</v>
      </c>
      <c r="D36" s="203"/>
      <c r="E36" s="226"/>
      <c r="F36" s="71"/>
    </row>
    <row r="37" spans="2:6" ht="25.5">
      <c r="B37" s="104" t="s">
        <v>29</v>
      </c>
      <c r="C37" s="6" t="s">
        <v>30</v>
      </c>
      <c r="D37" s="203"/>
      <c r="E37" s="226"/>
      <c r="F37" s="71"/>
    </row>
    <row r="38" spans="2:6">
      <c r="B38" s="104" t="s">
        <v>31</v>
      </c>
      <c r="C38" s="6" t="s">
        <v>32</v>
      </c>
      <c r="D38" s="203"/>
      <c r="E38" s="226"/>
      <c r="F38" s="71"/>
    </row>
    <row r="39" spans="2:6">
      <c r="B39" s="105" t="s">
        <v>33</v>
      </c>
      <c r="C39" s="12" t="s">
        <v>34</v>
      </c>
      <c r="D39" s="204">
        <v>358947.23</v>
      </c>
      <c r="E39" s="227">
        <v>421561.81000000087</v>
      </c>
      <c r="F39" s="71"/>
    </row>
    <row r="40" spans="2:6" ht="13.5" thickBot="1">
      <c r="B40" s="97" t="s">
        <v>35</v>
      </c>
      <c r="C40" s="98" t="s">
        <v>36</v>
      </c>
      <c r="D40" s="205">
        <v>-1917207</v>
      </c>
      <c r="E40" s="232">
        <v>-71234.320000000007</v>
      </c>
    </row>
    <row r="41" spans="2:6" ht="13.5" thickBot="1">
      <c r="B41" s="99" t="s">
        <v>37</v>
      </c>
      <c r="C41" s="100" t="s">
        <v>38</v>
      </c>
      <c r="D41" s="206">
        <v>16831070.630000003</v>
      </c>
      <c r="E41" s="148">
        <f>E26+E27+E40</f>
        <v>16950682.610000003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63"/>
      <c r="D43" s="363"/>
      <c r="E43" s="363"/>
    </row>
    <row r="44" spans="2:6" ht="17.25" customHeight="1" thickBot="1">
      <c r="B44" s="360" t="s">
        <v>121</v>
      </c>
      <c r="C44" s="364"/>
      <c r="D44" s="364"/>
      <c r="E44" s="364"/>
    </row>
    <row r="45" spans="2:6" ht="13.5" thickBot="1">
      <c r="B45" s="86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7">
        <v>1597461.52211</v>
      </c>
      <c r="E47" s="73">
        <v>1617609.36784</v>
      </c>
    </row>
    <row r="48" spans="2:6">
      <c r="B48" s="123" t="s">
        <v>6</v>
      </c>
      <c r="C48" s="22" t="s">
        <v>41</v>
      </c>
      <c r="D48" s="207">
        <v>1617609.36784</v>
      </c>
      <c r="E48" s="272">
        <v>1635876.2345</v>
      </c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02" t="s">
        <v>4</v>
      </c>
      <c r="C50" s="15" t="s">
        <v>40</v>
      </c>
      <c r="D50" s="207">
        <v>11.572050221037401</v>
      </c>
      <c r="E50" s="73">
        <v>10.4049042770367</v>
      </c>
    </row>
    <row r="51" spans="2:5">
      <c r="B51" s="102" t="s">
        <v>6</v>
      </c>
      <c r="C51" s="15" t="s">
        <v>114</v>
      </c>
      <c r="D51" s="207">
        <v>9.9654000000000007</v>
      </c>
      <c r="E51" s="75">
        <v>9.9032999999999998</v>
      </c>
    </row>
    <row r="52" spans="2:5" ht="12.75" customHeight="1">
      <c r="B52" s="102" t="s">
        <v>8</v>
      </c>
      <c r="C52" s="15" t="s">
        <v>115</v>
      </c>
      <c r="D52" s="207">
        <v>12.1831</v>
      </c>
      <c r="E52" s="75">
        <v>11.3018</v>
      </c>
    </row>
    <row r="53" spans="2:5" ht="13.5" thickBot="1">
      <c r="B53" s="103" t="s">
        <v>9</v>
      </c>
      <c r="C53" s="17" t="s">
        <v>41</v>
      </c>
      <c r="D53" s="209">
        <v>10.4049042770367</v>
      </c>
      <c r="E53" s="233">
        <v>10.361800000000001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5.7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SUM(D59:D70)</f>
        <v>16914860.510000002</v>
      </c>
      <c r="E58" s="31">
        <f>D58/E21</f>
        <v>0.99788668687720761</v>
      </c>
    </row>
    <row r="59" spans="2:5" ht="25.5">
      <c r="B59" s="21" t="s">
        <v>4</v>
      </c>
      <c r="C59" s="22" t="s">
        <v>44</v>
      </c>
      <c r="D59" s="80">
        <v>0</v>
      </c>
      <c r="E59" s="81">
        <v>0</v>
      </c>
    </row>
    <row r="60" spans="2:5" ht="24" customHeight="1">
      <c r="B60" s="14" t="s">
        <v>6</v>
      </c>
      <c r="C60" s="15" t="s">
        <v>45</v>
      </c>
      <c r="D60" s="78">
        <v>0</v>
      </c>
      <c r="E60" s="79">
        <v>0</v>
      </c>
    </row>
    <row r="61" spans="2:5">
      <c r="B61" s="14" t="s">
        <v>8</v>
      </c>
      <c r="C61" s="15" t="s">
        <v>46</v>
      </c>
      <c r="D61" s="78">
        <v>0</v>
      </c>
      <c r="E61" s="79">
        <v>0</v>
      </c>
    </row>
    <row r="62" spans="2:5">
      <c r="B62" s="14" t="s">
        <v>9</v>
      </c>
      <c r="C62" s="15" t="s">
        <v>47</v>
      </c>
      <c r="D62" s="78">
        <v>0</v>
      </c>
      <c r="E62" s="79">
        <v>0</v>
      </c>
    </row>
    <row r="63" spans="2:5">
      <c r="B63" s="14" t="s">
        <v>29</v>
      </c>
      <c r="C63" s="15" t="s">
        <v>48</v>
      </c>
      <c r="D63" s="78">
        <v>0</v>
      </c>
      <c r="E63" s="79">
        <v>0</v>
      </c>
    </row>
    <row r="64" spans="2:5">
      <c r="B64" s="21" t="s">
        <v>31</v>
      </c>
      <c r="C64" s="22" t="s">
        <v>49</v>
      </c>
      <c r="D64" s="269">
        <f>16752211.02-127720.7</f>
        <v>16624490.32</v>
      </c>
      <c r="E64" s="81">
        <f>D64/E21</f>
        <v>0.98075639208726817</v>
      </c>
    </row>
    <row r="65" spans="2:5">
      <c r="B65" s="21" t="s">
        <v>33</v>
      </c>
      <c r="C65" s="22" t="s">
        <v>118</v>
      </c>
      <c r="D65" s="80">
        <v>0</v>
      </c>
      <c r="E65" s="81">
        <v>0</v>
      </c>
    </row>
    <row r="66" spans="2:5">
      <c r="B66" s="21" t="s">
        <v>50</v>
      </c>
      <c r="C66" s="22" t="s">
        <v>51</v>
      </c>
      <c r="D66" s="80">
        <v>0</v>
      </c>
      <c r="E66" s="81">
        <v>0</v>
      </c>
    </row>
    <row r="67" spans="2:5">
      <c r="B67" s="14" t="s">
        <v>52</v>
      </c>
      <c r="C67" s="15" t="s">
        <v>53</v>
      </c>
      <c r="D67" s="78">
        <v>0</v>
      </c>
      <c r="E67" s="79">
        <v>0</v>
      </c>
    </row>
    <row r="68" spans="2:5">
      <c r="B68" s="14" t="s">
        <v>54</v>
      </c>
      <c r="C68" s="15" t="s">
        <v>55</v>
      </c>
      <c r="D68" s="78">
        <v>0</v>
      </c>
      <c r="E68" s="79">
        <v>0</v>
      </c>
    </row>
    <row r="69" spans="2:5">
      <c r="B69" s="14" t="s">
        <v>56</v>
      </c>
      <c r="C69" s="15" t="s">
        <v>57</v>
      </c>
      <c r="D69" s="286">
        <v>290370.19</v>
      </c>
      <c r="E69" s="79">
        <f>D69/E21</f>
        <v>1.7130294789939434E-2</v>
      </c>
    </row>
    <row r="70" spans="2:5">
      <c r="B70" s="112" t="s">
        <v>58</v>
      </c>
      <c r="C70" s="113" t="s">
        <v>59</v>
      </c>
      <c r="D70" s="114">
        <v>0</v>
      </c>
      <c r="E70" s="115">
        <v>0</v>
      </c>
    </row>
    <row r="71" spans="2:5">
      <c r="B71" s="120" t="s">
        <v>23</v>
      </c>
      <c r="C71" s="121" t="s">
        <v>61</v>
      </c>
      <c r="D71" s="122">
        <f>E13</f>
        <v>0</v>
      </c>
      <c r="E71" s="66">
        <v>0</v>
      </c>
    </row>
    <row r="72" spans="2:5">
      <c r="B72" s="116" t="s">
        <v>60</v>
      </c>
      <c r="C72" s="117" t="s">
        <v>63</v>
      </c>
      <c r="D72" s="118">
        <f>E14</f>
        <v>68091.210000000006</v>
      </c>
      <c r="E72" s="119">
        <f>D72/E21</f>
        <v>4.0170187576888386E-3</v>
      </c>
    </row>
    <row r="73" spans="2:5">
      <c r="B73" s="23" t="s">
        <v>62</v>
      </c>
      <c r="C73" s="24" t="s">
        <v>65</v>
      </c>
      <c r="D73" s="25">
        <f>E17</f>
        <v>32269.11</v>
      </c>
      <c r="E73" s="26">
        <f>D73/E21</f>
        <v>1.9037056348965521E-3</v>
      </c>
    </row>
    <row r="74" spans="2:5">
      <c r="B74" s="120" t="s">
        <v>64</v>
      </c>
      <c r="C74" s="121" t="s">
        <v>66</v>
      </c>
      <c r="D74" s="122">
        <f>D58+D71+D72-D73</f>
        <v>16950682.610000003</v>
      </c>
      <c r="E74" s="66">
        <f>E58+E72-E73</f>
        <v>1</v>
      </c>
    </row>
    <row r="75" spans="2:5">
      <c r="B75" s="14" t="s">
        <v>4</v>
      </c>
      <c r="C75" s="15" t="s">
        <v>67</v>
      </c>
      <c r="D75" s="78">
        <f>D74</f>
        <v>16950682.610000003</v>
      </c>
      <c r="E75" s="79">
        <f>E74</f>
        <v>1</v>
      </c>
    </row>
    <row r="76" spans="2:5">
      <c r="B76" s="14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6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5118110236220474" right="0.74803149606299213" top="0.51181102362204722" bottom="0.47244094488188981" header="0.51181102362204722" footer="0.51181102362204722"/>
  <pageSetup paperSize="9" scale="70" orientation="portrait" r:id="rId1"/>
  <headerFooter alignWithMargins="0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0"/>
  <dimension ref="A1:L81"/>
  <sheetViews>
    <sheetView topLeftCell="A43" zoomScale="80" zoomScaleNormal="80" workbookViewId="0">
      <selection activeCell="G9" sqref="G9:K23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57" t="s">
        <v>0</v>
      </c>
      <c r="C2" s="357"/>
      <c r="D2" s="357"/>
      <c r="E2" s="357"/>
      <c r="H2" s="157"/>
      <c r="I2" s="157"/>
      <c r="J2" s="159"/>
      <c r="L2" s="71"/>
    </row>
    <row r="3" spans="2:12" ht="15.75">
      <c r="B3" s="357" t="s">
        <v>267</v>
      </c>
      <c r="C3" s="357"/>
      <c r="D3" s="357"/>
      <c r="E3" s="357"/>
      <c r="H3" s="157"/>
      <c r="I3" s="157"/>
      <c r="J3" s="159"/>
    </row>
    <row r="4" spans="2:12" ht="15">
      <c r="B4" s="147"/>
      <c r="C4" s="147"/>
      <c r="D4" s="147"/>
      <c r="E4" s="147"/>
      <c r="H4" s="156"/>
      <c r="I4" s="156"/>
      <c r="J4" s="159"/>
    </row>
    <row r="5" spans="2:12" ht="14.25">
      <c r="B5" s="358" t="s">
        <v>1</v>
      </c>
      <c r="C5" s="358"/>
      <c r="D5" s="358"/>
      <c r="E5" s="358"/>
    </row>
    <row r="6" spans="2:12" ht="14.25">
      <c r="B6" s="359" t="s">
        <v>255</v>
      </c>
      <c r="C6" s="359"/>
      <c r="D6" s="359"/>
      <c r="E6" s="359"/>
    </row>
    <row r="7" spans="2:12" ht="14.25">
      <c r="B7" s="198"/>
      <c r="C7" s="198"/>
      <c r="D7" s="198"/>
      <c r="E7" s="198"/>
    </row>
    <row r="8" spans="2:12" ht="13.5">
      <c r="B8" s="361" t="s">
        <v>18</v>
      </c>
      <c r="C8" s="363"/>
      <c r="D8" s="363"/>
      <c r="E8" s="363"/>
    </row>
    <row r="9" spans="2:12" ht="16.5" thickBot="1">
      <c r="B9" s="360" t="s">
        <v>103</v>
      </c>
      <c r="C9" s="360"/>
      <c r="D9" s="360"/>
      <c r="E9" s="360"/>
    </row>
    <row r="10" spans="2:12" ht="13.5" thickBot="1">
      <c r="B10" s="199"/>
      <c r="C10" s="76" t="s">
        <v>2</v>
      </c>
      <c r="D10" s="70" t="s">
        <v>125</v>
      </c>
      <c r="E10" s="319" t="s">
        <v>268</v>
      </c>
    </row>
    <row r="11" spans="2:12">
      <c r="B11" s="90" t="s">
        <v>3</v>
      </c>
      <c r="C11" s="128" t="s">
        <v>109</v>
      </c>
      <c r="D11" s="243"/>
      <c r="E11" s="244"/>
    </row>
    <row r="12" spans="2:12">
      <c r="B12" s="174" t="s">
        <v>4</v>
      </c>
      <c r="C12" s="175" t="s">
        <v>5</v>
      </c>
      <c r="D12" s="283"/>
      <c r="E12" s="304"/>
    </row>
    <row r="13" spans="2:12">
      <c r="B13" s="174" t="s">
        <v>6</v>
      </c>
      <c r="C13" s="176" t="s">
        <v>7</v>
      </c>
      <c r="D13" s="276"/>
      <c r="E13" s="305"/>
    </row>
    <row r="14" spans="2:12">
      <c r="B14" s="174" t="s">
        <v>8</v>
      </c>
      <c r="C14" s="176" t="s">
        <v>10</v>
      </c>
      <c r="D14" s="276"/>
      <c r="E14" s="305"/>
      <c r="G14" s="67"/>
    </row>
    <row r="15" spans="2:12">
      <c r="B15" s="174" t="s">
        <v>106</v>
      </c>
      <c r="C15" s="176" t="s">
        <v>11</v>
      </c>
      <c r="D15" s="276"/>
      <c r="E15" s="305"/>
    </row>
    <row r="16" spans="2:12">
      <c r="B16" s="177" t="s">
        <v>107</v>
      </c>
      <c r="C16" s="178" t="s">
        <v>12</v>
      </c>
      <c r="D16" s="278"/>
      <c r="E16" s="306"/>
    </row>
    <row r="17" spans="2:11">
      <c r="B17" s="9" t="s">
        <v>13</v>
      </c>
      <c r="C17" s="11" t="s">
        <v>65</v>
      </c>
      <c r="D17" s="279"/>
      <c r="E17" s="307"/>
    </row>
    <row r="18" spans="2:11">
      <c r="B18" s="174" t="s">
        <v>4</v>
      </c>
      <c r="C18" s="175" t="s">
        <v>11</v>
      </c>
      <c r="D18" s="278"/>
      <c r="E18" s="306"/>
    </row>
    <row r="19" spans="2:11" ht="15" customHeight="1">
      <c r="B19" s="174" t="s">
        <v>6</v>
      </c>
      <c r="C19" s="176" t="s">
        <v>108</v>
      </c>
      <c r="D19" s="276"/>
      <c r="E19" s="305"/>
    </row>
    <row r="20" spans="2:11" ht="13.5" thickBot="1">
      <c r="B20" s="179" t="s">
        <v>8</v>
      </c>
      <c r="C20" s="180" t="s">
        <v>14</v>
      </c>
      <c r="D20" s="245"/>
      <c r="E20" s="246"/>
    </row>
    <row r="21" spans="2:11" ht="13.5" thickBot="1">
      <c r="B21" s="367" t="s">
        <v>110</v>
      </c>
      <c r="C21" s="368"/>
      <c r="D21" s="247"/>
      <c r="E21" s="148"/>
      <c r="F21" s="77"/>
      <c r="G21" s="77"/>
      <c r="H21" s="164"/>
      <c r="J21" s="219"/>
      <c r="K21" s="67"/>
    </row>
    <row r="22" spans="2:11">
      <c r="B22" s="3"/>
      <c r="C22" s="7"/>
      <c r="D22" s="8"/>
      <c r="E22" s="8"/>
      <c r="G22" s="71"/>
    </row>
    <row r="23" spans="2:11" ht="13.5">
      <c r="B23" s="361" t="s">
        <v>104</v>
      </c>
      <c r="C23" s="371"/>
      <c r="D23" s="371"/>
      <c r="E23" s="371"/>
      <c r="G23" s="71"/>
    </row>
    <row r="24" spans="2:11" ht="15.75" customHeight="1" thickBot="1">
      <c r="B24" s="360" t="s">
        <v>105</v>
      </c>
      <c r="C24" s="372"/>
      <c r="D24" s="372"/>
      <c r="E24" s="372"/>
    </row>
    <row r="25" spans="2:11" ht="13.5" thickBot="1">
      <c r="B25" s="214"/>
      <c r="C25" s="181" t="s">
        <v>2</v>
      </c>
      <c r="D25" s="70" t="s">
        <v>125</v>
      </c>
      <c r="E25" s="319" t="s">
        <v>268</v>
      </c>
    </row>
    <row r="26" spans="2:11">
      <c r="B26" s="95" t="s">
        <v>15</v>
      </c>
      <c r="C26" s="96" t="s">
        <v>16</v>
      </c>
      <c r="D26" s="201">
        <v>6775.97</v>
      </c>
      <c r="E26" s="231"/>
      <c r="G26" s="74"/>
    </row>
    <row r="27" spans="2:11">
      <c r="B27" s="9" t="s">
        <v>17</v>
      </c>
      <c r="C27" s="10" t="s">
        <v>111</v>
      </c>
      <c r="D27" s="202">
        <v>-6782.41</v>
      </c>
      <c r="E27" s="224"/>
      <c r="F27" s="71"/>
      <c r="G27" s="74"/>
      <c r="H27" s="71"/>
      <c r="I27" s="71"/>
      <c r="J27" s="74"/>
    </row>
    <row r="28" spans="2:11">
      <c r="B28" s="9" t="s">
        <v>18</v>
      </c>
      <c r="C28" s="10" t="s">
        <v>19</v>
      </c>
      <c r="D28" s="202">
        <v>0</v>
      </c>
      <c r="E28" s="225"/>
      <c r="F28" s="71"/>
      <c r="G28" s="71"/>
      <c r="H28" s="71"/>
      <c r="I28" s="71"/>
      <c r="J28" s="74"/>
    </row>
    <row r="29" spans="2:11">
      <c r="B29" s="182" t="s">
        <v>4</v>
      </c>
      <c r="C29" s="175" t="s">
        <v>20</v>
      </c>
      <c r="D29" s="203"/>
      <c r="E29" s="226"/>
      <c r="F29" s="71"/>
      <c r="G29" s="71"/>
      <c r="H29" s="71"/>
      <c r="I29" s="71"/>
      <c r="J29" s="74"/>
    </row>
    <row r="30" spans="2:11">
      <c r="B30" s="182" t="s">
        <v>6</v>
      </c>
      <c r="C30" s="175" t="s">
        <v>21</v>
      </c>
      <c r="D30" s="203"/>
      <c r="E30" s="226"/>
      <c r="F30" s="71"/>
      <c r="G30" s="71"/>
      <c r="H30" s="71"/>
      <c r="I30" s="71"/>
      <c r="J30" s="74"/>
    </row>
    <row r="31" spans="2:11">
      <c r="B31" s="182" t="s">
        <v>8</v>
      </c>
      <c r="C31" s="175" t="s">
        <v>22</v>
      </c>
      <c r="D31" s="203"/>
      <c r="E31" s="226"/>
      <c r="F31" s="71"/>
      <c r="G31" s="71"/>
      <c r="H31" s="71"/>
      <c r="I31" s="71"/>
      <c r="J31" s="74"/>
    </row>
    <row r="32" spans="2:11">
      <c r="B32" s="92" t="s">
        <v>23</v>
      </c>
      <c r="C32" s="11" t="s">
        <v>24</v>
      </c>
      <c r="D32" s="202">
        <v>6782.41</v>
      </c>
      <c r="E32" s="225"/>
      <c r="F32" s="71"/>
      <c r="G32" s="74"/>
      <c r="H32" s="71"/>
      <c r="I32" s="71"/>
      <c r="J32" s="74"/>
    </row>
    <row r="33" spans="2:10">
      <c r="B33" s="182" t="s">
        <v>4</v>
      </c>
      <c r="C33" s="175" t="s">
        <v>25</v>
      </c>
      <c r="D33" s="203"/>
      <c r="E33" s="226"/>
      <c r="F33" s="71"/>
      <c r="G33" s="71"/>
      <c r="H33" s="71"/>
      <c r="I33" s="71"/>
      <c r="J33" s="74"/>
    </row>
    <row r="34" spans="2:10">
      <c r="B34" s="182" t="s">
        <v>6</v>
      </c>
      <c r="C34" s="175" t="s">
        <v>26</v>
      </c>
      <c r="D34" s="203"/>
      <c r="E34" s="226"/>
      <c r="F34" s="71"/>
      <c r="G34" s="71"/>
      <c r="H34" s="71"/>
      <c r="I34" s="71"/>
      <c r="J34" s="74"/>
    </row>
    <row r="35" spans="2:10">
      <c r="B35" s="182" t="s">
        <v>8</v>
      </c>
      <c r="C35" s="175" t="s">
        <v>27</v>
      </c>
      <c r="D35" s="203">
        <v>7.64</v>
      </c>
      <c r="E35" s="226"/>
      <c r="F35" s="71"/>
      <c r="G35" s="71"/>
      <c r="H35" s="71"/>
      <c r="I35" s="71"/>
      <c r="J35" s="74"/>
    </row>
    <row r="36" spans="2:10">
      <c r="B36" s="182" t="s">
        <v>9</v>
      </c>
      <c r="C36" s="175" t="s">
        <v>28</v>
      </c>
      <c r="D36" s="203"/>
      <c r="E36" s="226"/>
      <c r="F36" s="71"/>
      <c r="G36" s="71"/>
      <c r="H36" s="71"/>
      <c r="I36" s="71"/>
      <c r="J36" s="74"/>
    </row>
    <row r="37" spans="2:10" ht="25.5">
      <c r="B37" s="182" t="s">
        <v>29</v>
      </c>
      <c r="C37" s="175" t="s">
        <v>30</v>
      </c>
      <c r="D37" s="203">
        <v>38.89</v>
      </c>
      <c r="E37" s="226"/>
      <c r="F37" s="71"/>
      <c r="G37" s="71"/>
      <c r="H37" s="71"/>
      <c r="I37" s="71"/>
      <c r="J37" s="74"/>
    </row>
    <row r="38" spans="2:10">
      <c r="B38" s="182" t="s">
        <v>31</v>
      </c>
      <c r="C38" s="175" t="s">
        <v>32</v>
      </c>
      <c r="D38" s="203"/>
      <c r="E38" s="226"/>
      <c r="F38" s="71"/>
      <c r="G38" s="71"/>
      <c r="H38" s="71"/>
      <c r="I38" s="71"/>
      <c r="J38" s="74"/>
    </row>
    <row r="39" spans="2:10">
      <c r="B39" s="183" t="s">
        <v>33</v>
      </c>
      <c r="C39" s="184" t="s">
        <v>34</v>
      </c>
      <c r="D39" s="204">
        <v>6735.88</v>
      </c>
      <c r="E39" s="227"/>
      <c r="F39" s="71"/>
      <c r="G39" s="71"/>
      <c r="H39" s="71"/>
      <c r="I39" s="71"/>
      <c r="J39" s="74"/>
    </row>
    <row r="40" spans="2:10" ht="13.5" thickBot="1">
      <c r="B40" s="97" t="s">
        <v>35</v>
      </c>
      <c r="C40" s="98" t="s">
        <v>36</v>
      </c>
      <c r="D40" s="205">
        <v>6.44</v>
      </c>
      <c r="E40" s="232"/>
      <c r="G40" s="74"/>
    </row>
    <row r="41" spans="2:10" ht="13.5" thickBot="1">
      <c r="B41" s="99" t="s">
        <v>37</v>
      </c>
      <c r="C41" s="100" t="s">
        <v>38</v>
      </c>
      <c r="D41" s="206">
        <v>0</v>
      </c>
      <c r="E41" s="148"/>
      <c r="F41" s="77"/>
      <c r="G41" s="74"/>
    </row>
    <row r="42" spans="2:10">
      <c r="B42" s="93"/>
      <c r="C42" s="93"/>
      <c r="D42" s="94"/>
      <c r="E42" s="94"/>
      <c r="F42" s="77"/>
      <c r="G42" s="67"/>
    </row>
    <row r="43" spans="2:10" ht="13.5">
      <c r="B43" s="362" t="s">
        <v>60</v>
      </c>
      <c r="C43" s="374"/>
      <c r="D43" s="374"/>
      <c r="E43" s="374"/>
      <c r="G43" s="71"/>
    </row>
    <row r="44" spans="2:10" ht="18" customHeight="1" thickBot="1">
      <c r="B44" s="360" t="s">
        <v>121</v>
      </c>
      <c r="C44" s="373"/>
      <c r="D44" s="373"/>
      <c r="E44" s="373"/>
      <c r="G44" s="71"/>
    </row>
    <row r="45" spans="2:10" ht="13.5" thickBot="1">
      <c r="B45" s="214"/>
      <c r="C45" s="29" t="s">
        <v>39</v>
      </c>
      <c r="D45" s="70" t="s">
        <v>125</v>
      </c>
      <c r="E45" s="319" t="s">
        <v>268</v>
      </c>
      <c r="G45" s="71"/>
    </row>
    <row r="46" spans="2:10">
      <c r="B46" s="13" t="s">
        <v>18</v>
      </c>
      <c r="C46" s="30" t="s">
        <v>112</v>
      </c>
      <c r="D46" s="101"/>
      <c r="E46" s="28"/>
      <c r="G46" s="71"/>
    </row>
    <row r="47" spans="2:10">
      <c r="B47" s="185" t="s">
        <v>4</v>
      </c>
      <c r="C47" s="186" t="s">
        <v>40</v>
      </c>
      <c r="D47" s="207">
        <v>58.509390000000003</v>
      </c>
      <c r="E47" s="149"/>
      <c r="G47" s="71"/>
    </row>
    <row r="48" spans="2:10">
      <c r="B48" s="187" t="s">
        <v>6</v>
      </c>
      <c r="C48" s="188" t="s">
        <v>41</v>
      </c>
      <c r="D48" s="207">
        <v>0</v>
      </c>
      <c r="E48" s="149"/>
      <c r="G48" s="71"/>
    </row>
    <row r="49" spans="2:7">
      <c r="B49" s="120" t="s">
        <v>23</v>
      </c>
      <c r="C49" s="124" t="s">
        <v>113</v>
      </c>
      <c r="D49" s="208"/>
      <c r="E49" s="149"/>
    </row>
    <row r="50" spans="2:7">
      <c r="B50" s="185" t="s">
        <v>4</v>
      </c>
      <c r="C50" s="186" t="s">
        <v>40</v>
      </c>
      <c r="D50" s="207">
        <v>115.81</v>
      </c>
      <c r="E50" s="149"/>
      <c r="G50" s="173"/>
    </row>
    <row r="51" spans="2:7">
      <c r="B51" s="185" t="s">
        <v>6</v>
      </c>
      <c r="C51" s="186" t="s">
        <v>114</v>
      </c>
      <c r="D51" s="207">
        <v>115.81</v>
      </c>
      <c r="E51" s="149"/>
      <c r="G51" s="173"/>
    </row>
    <row r="52" spans="2:7">
      <c r="B52" s="185" t="s">
        <v>8</v>
      </c>
      <c r="C52" s="186" t="s">
        <v>115</v>
      </c>
      <c r="D52" s="207">
        <v>116.45</v>
      </c>
      <c r="E52" s="75"/>
    </row>
    <row r="53" spans="2:7" ht="13.5" thickBot="1">
      <c r="B53" s="189" t="s">
        <v>9</v>
      </c>
      <c r="C53" s="190" t="s">
        <v>41</v>
      </c>
      <c r="D53" s="209">
        <v>0</v>
      </c>
      <c r="E53" s="233"/>
    </row>
    <row r="54" spans="2:7">
      <c r="B54" s="109"/>
      <c r="C54" s="110"/>
      <c r="D54" s="111"/>
      <c r="E54" s="111"/>
    </row>
    <row r="55" spans="2:7" ht="13.5">
      <c r="B55" s="362" t="s">
        <v>62</v>
      </c>
      <c r="C55" s="363"/>
      <c r="D55" s="363"/>
      <c r="E55" s="363"/>
    </row>
    <row r="56" spans="2:7" ht="14.25" thickBot="1">
      <c r="B56" s="360" t="s">
        <v>116</v>
      </c>
      <c r="C56" s="364"/>
      <c r="D56" s="364"/>
      <c r="E56" s="364"/>
    </row>
    <row r="57" spans="2:7" ht="23.25" thickBot="1">
      <c r="B57" s="355" t="s">
        <v>42</v>
      </c>
      <c r="C57" s="356"/>
      <c r="D57" s="18" t="s">
        <v>122</v>
      </c>
      <c r="E57" s="19" t="s">
        <v>117</v>
      </c>
    </row>
    <row r="58" spans="2:7">
      <c r="B58" s="20" t="s">
        <v>18</v>
      </c>
      <c r="C58" s="126" t="s">
        <v>43</v>
      </c>
      <c r="D58" s="127">
        <f>D64</f>
        <v>0</v>
      </c>
      <c r="E58" s="31">
        <v>0</v>
      </c>
    </row>
    <row r="59" spans="2:7" ht="25.5">
      <c r="B59" s="123" t="s">
        <v>4</v>
      </c>
      <c r="C59" s="22" t="s">
        <v>44</v>
      </c>
      <c r="D59" s="80">
        <v>0</v>
      </c>
      <c r="E59" s="81">
        <v>0</v>
      </c>
    </row>
    <row r="60" spans="2:7" ht="25.5">
      <c r="B60" s="102" t="s">
        <v>6</v>
      </c>
      <c r="C60" s="15" t="s">
        <v>45</v>
      </c>
      <c r="D60" s="78">
        <v>0</v>
      </c>
      <c r="E60" s="79">
        <v>0</v>
      </c>
    </row>
    <row r="61" spans="2:7">
      <c r="B61" s="102" t="s">
        <v>8</v>
      </c>
      <c r="C61" s="15" t="s">
        <v>46</v>
      </c>
      <c r="D61" s="78">
        <v>0</v>
      </c>
      <c r="E61" s="79">
        <v>0</v>
      </c>
    </row>
    <row r="62" spans="2:7">
      <c r="B62" s="102" t="s">
        <v>9</v>
      </c>
      <c r="C62" s="15" t="s">
        <v>47</v>
      </c>
      <c r="D62" s="78">
        <v>0</v>
      </c>
      <c r="E62" s="79">
        <v>0</v>
      </c>
    </row>
    <row r="63" spans="2:7">
      <c r="B63" s="102" t="s">
        <v>29</v>
      </c>
      <c r="C63" s="15" t="s">
        <v>48</v>
      </c>
      <c r="D63" s="78">
        <v>0</v>
      </c>
      <c r="E63" s="79">
        <v>0</v>
      </c>
    </row>
    <row r="64" spans="2:7">
      <c r="B64" s="123" t="s">
        <v>31</v>
      </c>
      <c r="C64" s="22" t="s">
        <v>49</v>
      </c>
      <c r="D64" s="80">
        <f>E21</f>
        <v>0</v>
      </c>
      <c r="E64" s="81">
        <v>0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0</v>
      </c>
      <c r="E74" s="66">
        <f>E58+E72-E73</f>
        <v>0</v>
      </c>
    </row>
    <row r="75" spans="2:5">
      <c r="B75" s="102" t="s">
        <v>4</v>
      </c>
      <c r="C75" s="15" t="s">
        <v>67</v>
      </c>
      <c r="D75" s="78">
        <f>D74</f>
        <v>0</v>
      </c>
      <c r="E75" s="79">
        <f>E74</f>
        <v>0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1"/>
  <dimension ref="A1:F81"/>
  <sheetViews>
    <sheetView zoomScale="80" zoomScaleNormal="80" workbookViewId="0">
      <selection activeCell="G1" sqref="G1:M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141"/>
      <c r="C4" s="141"/>
      <c r="D4" s="141"/>
      <c r="E4" s="141"/>
    </row>
    <row r="5" spans="2:5" ht="21" customHeight="1">
      <c r="B5" s="358" t="s">
        <v>1</v>
      </c>
      <c r="C5" s="358"/>
      <c r="D5" s="358"/>
      <c r="E5" s="358"/>
    </row>
    <row r="6" spans="2:5" ht="14.25">
      <c r="B6" s="359" t="s">
        <v>199</v>
      </c>
      <c r="C6" s="359"/>
      <c r="D6" s="359"/>
      <c r="E6" s="359"/>
    </row>
    <row r="7" spans="2:5" ht="14.25">
      <c r="B7" s="139"/>
      <c r="C7" s="139"/>
      <c r="D7" s="139"/>
      <c r="E7" s="139"/>
    </row>
    <row r="8" spans="2:5" ht="13.5">
      <c r="B8" s="361" t="s">
        <v>18</v>
      </c>
      <c r="C8" s="363"/>
      <c r="D8" s="363"/>
      <c r="E8" s="363"/>
    </row>
    <row r="9" spans="2:5" ht="16.5" thickBot="1">
      <c r="B9" s="360" t="s">
        <v>103</v>
      </c>
      <c r="C9" s="360"/>
      <c r="D9" s="360"/>
      <c r="E9" s="360"/>
    </row>
    <row r="10" spans="2:5" ht="13.5" thickBot="1">
      <c r="B10" s="140"/>
      <c r="C10" s="76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28" t="s">
        <v>109</v>
      </c>
      <c r="D11" s="243">
        <v>33899.839999999997</v>
      </c>
      <c r="E11" s="244">
        <f>SUM(E12:E14)</f>
        <v>33933.9</v>
      </c>
    </row>
    <row r="12" spans="2:5">
      <c r="B12" s="174" t="s">
        <v>4</v>
      </c>
      <c r="C12" s="175" t="s">
        <v>5</v>
      </c>
      <c r="D12" s="283">
        <v>33899.839999999997</v>
      </c>
      <c r="E12" s="304">
        <v>33933.9</v>
      </c>
    </row>
    <row r="13" spans="2:5">
      <c r="B13" s="174" t="s">
        <v>6</v>
      </c>
      <c r="C13" s="176" t="s">
        <v>7</v>
      </c>
      <c r="D13" s="276"/>
      <c r="E13" s="305"/>
    </row>
    <row r="14" spans="2:5">
      <c r="B14" s="174" t="s">
        <v>8</v>
      </c>
      <c r="C14" s="176" t="s">
        <v>10</v>
      </c>
      <c r="D14" s="276"/>
      <c r="E14" s="305"/>
    </row>
    <row r="15" spans="2:5">
      <c r="B15" s="174" t="s">
        <v>106</v>
      </c>
      <c r="C15" s="176" t="s">
        <v>11</v>
      </c>
      <c r="D15" s="276"/>
      <c r="E15" s="305"/>
    </row>
    <row r="16" spans="2:5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33899.839999999997</v>
      </c>
      <c r="E21" s="148">
        <f>E11-E17</f>
        <v>33933.9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81884.33</v>
      </c>
      <c r="E26" s="231">
        <f>D21</f>
        <v>33899.839999999997</v>
      </c>
    </row>
    <row r="27" spans="2:6">
      <c r="B27" s="9" t="s">
        <v>17</v>
      </c>
      <c r="C27" s="10" t="s">
        <v>111</v>
      </c>
      <c r="D27" s="202">
        <v>-34794.220000000008</v>
      </c>
      <c r="E27" s="224">
        <v>-3332.7699999999995</v>
      </c>
      <c r="F27" s="71"/>
    </row>
    <row r="28" spans="2:6">
      <c r="B28" s="9" t="s">
        <v>18</v>
      </c>
      <c r="C28" s="10" t="s">
        <v>19</v>
      </c>
      <c r="D28" s="202">
        <v>2694.38</v>
      </c>
      <c r="E28" s="225">
        <v>0</v>
      </c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>
        <v>2694.38</v>
      </c>
      <c r="E31" s="226"/>
      <c r="F31" s="71"/>
    </row>
    <row r="32" spans="2:6">
      <c r="B32" s="92" t="s">
        <v>23</v>
      </c>
      <c r="C32" s="11" t="s">
        <v>24</v>
      </c>
      <c r="D32" s="202">
        <v>37488.600000000006</v>
      </c>
      <c r="E32" s="225">
        <v>3332.7699999999995</v>
      </c>
      <c r="F32" s="71"/>
    </row>
    <row r="33" spans="2:6">
      <c r="B33" s="182" t="s">
        <v>4</v>
      </c>
      <c r="C33" s="175" t="s">
        <v>25</v>
      </c>
      <c r="D33" s="203">
        <v>12415.03</v>
      </c>
      <c r="E33" s="226">
        <v>2033.72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435.85</v>
      </c>
      <c r="E35" s="226">
        <v>659.31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958.11</v>
      </c>
      <c r="E37" s="226">
        <v>639.74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>
        <v>23679.61</v>
      </c>
      <c r="E39" s="227"/>
      <c r="F39" s="71"/>
    </row>
    <row r="40" spans="2:6" ht="13.5" thickBot="1">
      <c r="B40" s="97" t="s">
        <v>35</v>
      </c>
      <c r="C40" s="98" t="s">
        <v>36</v>
      </c>
      <c r="D40" s="205">
        <v>-13190.27</v>
      </c>
      <c r="E40" s="232">
        <v>3366.83</v>
      </c>
    </row>
    <row r="41" spans="2:6" ht="13.5" thickBot="1">
      <c r="B41" s="99" t="s">
        <v>37</v>
      </c>
      <c r="C41" s="100" t="s">
        <v>38</v>
      </c>
      <c r="D41" s="206">
        <v>33899.839999999997</v>
      </c>
      <c r="E41" s="148">
        <f>E26+E27+E40</f>
        <v>33933.899999999994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719.92550000000006</v>
      </c>
      <c r="E47" s="149">
        <v>399.85660000000001</v>
      </c>
    </row>
    <row r="48" spans="2:6">
      <c r="B48" s="187" t="s">
        <v>6</v>
      </c>
      <c r="C48" s="188" t="s">
        <v>41</v>
      </c>
      <c r="D48" s="207">
        <v>399.85660000000001</v>
      </c>
      <c r="E48" s="149">
        <v>362.69670000000002</v>
      </c>
    </row>
    <row r="49" spans="2:5">
      <c r="B49" s="120" t="s">
        <v>23</v>
      </c>
      <c r="C49" s="124" t="s">
        <v>113</v>
      </c>
      <c r="D49" s="208"/>
      <c r="E49" s="149"/>
    </row>
    <row r="50" spans="2:5">
      <c r="B50" s="185" t="s">
        <v>4</v>
      </c>
      <c r="C50" s="186" t="s">
        <v>40</v>
      </c>
      <c r="D50" s="207">
        <v>113.74</v>
      </c>
      <c r="E50" s="149">
        <v>84.78</v>
      </c>
    </row>
    <row r="51" spans="2:5">
      <c r="B51" s="185" t="s">
        <v>6</v>
      </c>
      <c r="C51" s="186" t="s">
        <v>114</v>
      </c>
      <c r="D51" s="207">
        <v>100.83</v>
      </c>
      <c r="E51" s="75">
        <v>84.44</v>
      </c>
    </row>
    <row r="52" spans="2:5">
      <c r="B52" s="185" t="s">
        <v>8</v>
      </c>
      <c r="C52" s="186" t="s">
        <v>115</v>
      </c>
      <c r="D52" s="207">
        <v>117.6</v>
      </c>
      <c r="E52" s="75">
        <v>94.02</v>
      </c>
    </row>
    <row r="53" spans="2:5" ht="12.75" customHeight="1" thickBot="1">
      <c r="B53" s="189" t="s">
        <v>9</v>
      </c>
      <c r="C53" s="190" t="s">
        <v>41</v>
      </c>
      <c r="D53" s="209">
        <v>84.78</v>
      </c>
      <c r="E53" s="233">
        <v>93.56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6.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33933.9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33933.9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33933.9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33933.9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2">
    <pageSetUpPr fitToPage="1"/>
  </sheetPr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 customFormat="1">
      <c r="B1" s="1"/>
      <c r="C1" s="1"/>
      <c r="D1" s="2"/>
      <c r="E1" s="2"/>
    </row>
    <row r="2" spans="2:7" customFormat="1" ht="15.75">
      <c r="B2" s="357" t="s">
        <v>0</v>
      </c>
      <c r="C2" s="357"/>
      <c r="D2" s="357"/>
      <c r="E2" s="357"/>
      <c r="G2" s="71"/>
    </row>
    <row r="3" spans="2:7" customFormat="1" ht="15.75">
      <c r="B3" s="357" t="s">
        <v>267</v>
      </c>
      <c r="C3" s="357"/>
      <c r="D3" s="357"/>
      <c r="E3" s="357"/>
    </row>
    <row r="4" spans="2:7" customFormat="1" ht="15">
      <c r="B4" s="141"/>
      <c r="C4" s="141"/>
      <c r="D4" s="141"/>
      <c r="E4" s="141"/>
    </row>
    <row r="5" spans="2:7" customFormat="1" ht="21" customHeight="1">
      <c r="B5" s="358" t="s">
        <v>1</v>
      </c>
      <c r="C5" s="358"/>
      <c r="D5" s="358"/>
      <c r="E5" s="358"/>
    </row>
    <row r="6" spans="2:7" customFormat="1" ht="14.25">
      <c r="B6" s="359" t="s">
        <v>256</v>
      </c>
      <c r="C6" s="359"/>
      <c r="D6" s="359"/>
      <c r="E6" s="359"/>
    </row>
    <row r="7" spans="2:7" customFormat="1" ht="14.25">
      <c r="B7" s="139"/>
      <c r="C7" s="139"/>
      <c r="D7" s="139"/>
      <c r="E7" s="139"/>
    </row>
    <row r="8" spans="2:7" customFormat="1" ht="13.5">
      <c r="B8" s="361" t="s">
        <v>18</v>
      </c>
      <c r="C8" s="363"/>
      <c r="D8" s="363"/>
      <c r="E8" s="363"/>
    </row>
    <row r="9" spans="2:7" customFormat="1" ht="16.5" thickBot="1">
      <c r="B9" s="360" t="s">
        <v>103</v>
      </c>
      <c r="C9" s="360"/>
      <c r="D9" s="360"/>
      <c r="E9" s="360"/>
    </row>
    <row r="10" spans="2:7" customFormat="1" ht="13.5" thickBot="1">
      <c r="B10" s="140"/>
      <c r="C10" s="76" t="s">
        <v>2</v>
      </c>
      <c r="D10" s="70" t="s">
        <v>125</v>
      </c>
      <c r="E10" s="319" t="s">
        <v>268</v>
      </c>
    </row>
    <row r="11" spans="2:7" customFormat="1">
      <c r="B11" s="90" t="s">
        <v>3</v>
      </c>
      <c r="C11" s="128" t="s">
        <v>109</v>
      </c>
      <c r="D11" s="243">
        <v>4223.03</v>
      </c>
      <c r="E11" s="244">
        <f>SUM(E12:E14)</f>
        <v>4344.21</v>
      </c>
    </row>
    <row r="12" spans="2:7" customFormat="1">
      <c r="B12" s="174" t="s">
        <v>4</v>
      </c>
      <c r="C12" s="175" t="s">
        <v>5</v>
      </c>
      <c r="D12" s="283">
        <v>4223.03</v>
      </c>
      <c r="E12" s="304">
        <v>4344.21</v>
      </c>
    </row>
    <row r="13" spans="2:7" customFormat="1">
      <c r="B13" s="174" t="s">
        <v>6</v>
      </c>
      <c r="C13" s="176" t="s">
        <v>7</v>
      </c>
      <c r="D13" s="276"/>
      <c r="E13" s="305"/>
    </row>
    <row r="14" spans="2:7" customFormat="1">
      <c r="B14" s="174" t="s">
        <v>8</v>
      </c>
      <c r="C14" s="176" t="s">
        <v>10</v>
      </c>
      <c r="D14" s="276"/>
      <c r="E14" s="305"/>
    </row>
    <row r="15" spans="2:7" customFormat="1">
      <c r="B15" s="174" t="s">
        <v>106</v>
      </c>
      <c r="C15" s="176" t="s">
        <v>11</v>
      </c>
      <c r="D15" s="276"/>
      <c r="E15" s="305"/>
    </row>
    <row r="16" spans="2:7" customFormat="1">
      <c r="B16" s="177" t="s">
        <v>107</v>
      </c>
      <c r="C16" s="178" t="s">
        <v>12</v>
      </c>
      <c r="D16" s="278"/>
      <c r="E16" s="306"/>
    </row>
    <row r="17" spans="2:6" customFormat="1">
      <c r="B17" s="9" t="s">
        <v>13</v>
      </c>
      <c r="C17" s="11" t="s">
        <v>65</v>
      </c>
      <c r="D17" s="279"/>
      <c r="E17" s="307"/>
    </row>
    <row r="18" spans="2:6" customFormat="1">
      <c r="B18" s="174" t="s">
        <v>4</v>
      </c>
      <c r="C18" s="175" t="s">
        <v>11</v>
      </c>
      <c r="D18" s="278"/>
      <c r="E18" s="306"/>
    </row>
    <row r="19" spans="2:6" customFormat="1" ht="15" customHeight="1">
      <c r="B19" s="174" t="s">
        <v>6</v>
      </c>
      <c r="C19" s="176" t="s">
        <v>108</v>
      </c>
      <c r="D19" s="276"/>
      <c r="E19" s="305"/>
    </row>
    <row r="20" spans="2:6" customFormat="1" ht="13.5" thickBot="1">
      <c r="B20" s="179" t="s">
        <v>8</v>
      </c>
      <c r="C20" s="180" t="s">
        <v>14</v>
      </c>
      <c r="D20" s="245"/>
      <c r="E20" s="246"/>
    </row>
    <row r="21" spans="2:6" customFormat="1" ht="13.5" thickBot="1">
      <c r="B21" s="367" t="s">
        <v>110</v>
      </c>
      <c r="C21" s="368"/>
      <c r="D21" s="247">
        <v>4223.03</v>
      </c>
      <c r="E21" s="148">
        <f>E11-E17</f>
        <v>4344.21</v>
      </c>
      <c r="F21" s="77"/>
    </row>
    <row r="22" spans="2:6" customFormat="1">
      <c r="B22" s="3"/>
      <c r="C22" s="7"/>
      <c r="D22" s="8"/>
      <c r="E22" s="8"/>
    </row>
    <row r="23" spans="2:6" customFormat="1" ht="13.5">
      <c r="B23" s="361" t="s">
        <v>104</v>
      </c>
      <c r="C23" s="371"/>
      <c r="D23" s="371"/>
      <c r="E23" s="371"/>
    </row>
    <row r="24" spans="2:6" customFormat="1" ht="15.75" customHeight="1" thickBot="1">
      <c r="B24" s="360" t="s">
        <v>105</v>
      </c>
      <c r="C24" s="372"/>
      <c r="D24" s="372"/>
      <c r="E24" s="372"/>
    </row>
    <row r="25" spans="2:6" customFormat="1" ht="13.5" thickBot="1">
      <c r="B25" s="214"/>
      <c r="C25" s="181" t="s">
        <v>2</v>
      </c>
      <c r="D25" s="70" t="s">
        <v>125</v>
      </c>
      <c r="E25" s="319" t="s">
        <v>268</v>
      </c>
    </row>
    <row r="26" spans="2:6" customFormat="1">
      <c r="B26" s="95" t="s">
        <v>15</v>
      </c>
      <c r="C26" s="96" t="s">
        <v>16</v>
      </c>
      <c r="D26" s="201">
        <v>23977.95</v>
      </c>
      <c r="E26" s="231">
        <f>D21</f>
        <v>4223.03</v>
      </c>
    </row>
    <row r="27" spans="2:6" customFormat="1">
      <c r="B27" s="9" t="s">
        <v>17</v>
      </c>
      <c r="C27" s="10" t="s">
        <v>111</v>
      </c>
      <c r="D27" s="202">
        <v>-15817.32</v>
      </c>
      <c r="E27" s="224">
        <v>-107.27000000000001</v>
      </c>
      <c r="F27" s="71"/>
    </row>
    <row r="28" spans="2:6" customFormat="1">
      <c r="B28" s="9" t="s">
        <v>18</v>
      </c>
      <c r="C28" s="10" t="s">
        <v>19</v>
      </c>
      <c r="D28" s="202">
        <v>0</v>
      </c>
      <c r="E28" s="225">
        <v>0</v>
      </c>
      <c r="F28" s="71"/>
    </row>
    <row r="29" spans="2:6" customFormat="1">
      <c r="B29" s="182" t="s">
        <v>4</v>
      </c>
      <c r="C29" s="175" t="s">
        <v>20</v>
      </c>
      <c r="D29" s="203"/>
      <c r="E29" s="226"/>
      <c r="F29" s="71"/>
    </row>
    <row r="30" spans="2:6" customFormat="1">
      <c r="B30" s="182" t="s">
        <v>6</v>
      </c>
      <c r="C30" s="175" t="s">
        <v>21</v>
      </c>
      <c r="D30" s="203"/>
      <c r="E30" s="226"/>
      <c r="F30" s="71"/>
    </row>
    <row r="31" spans="2:6" customFormat="1">
      <c r="B31" s="182" t="s">
        <v>8</v>
      </c>
      <c r="C31" s="175" t="s">
        <v>22</v>
      </c>
      <c r="D31" s="203"/>
      <c r="E31" s="226"/>
      <c r="F31" s="71"/>
    </row>
    <row r="32" spans="2:6" customFormat="1">
      <c r="B32" s="92" t="s">
        <v>23</v>
      </c>
      <c r="C32" s="11" t="s">
        <v>24</v>
      </c>
      <c r="D32" s="202">
        <v>15817.32</v>
      </c>
      <c r="E32" s="225">
        <v>107.27000000000001</v>
      </c>
      <c r="F32" s="71"/>
    </row>
    <row r="33" spans="2:6" customFormat="1">
      <c r="B33" s="182" t="s">
        <v>4</v>
      </c>
      <c r="C33" s="175" t="s">
        <v>25</v>
      </c>
      <c r="D33" s="203">
        <v>15414.23</v>
      </c>
      <c r="E33" s="226">
        <v>0</v>
      </c>
      <c r="F33" s="71"/>
    </row>
    <row r="34" spans="2:6" customFormat="1">
      <c r="B34" s="182" t="s">
        <v>6</v>
      </c>
      <c r="C34" s="175" t="s">
        <v>26</v>
      </c>
      <c r="D34" s="203"/>
      <c r="E34" s="226"/>
      <c r="F34" s="71"/>
    </row>
    <row r="35" spans="2:6" customFormat="1">
      <c r="B35" s="182" t="s">
        <v>8</v>
      </c>
      <c r="C35" s="175" t="s">
        <v>27</v>
      </c>
      <c r="D35" s="203">
        <v>14.98</v>
      </c>
      <c r="E35" s="226">
        <v>9.76</v>
      </c>
      <c r="F35" s="71"/>
    </row>
    <row r="36" spans="2:6" customFormat="1">
      <c r="B36" s="182" t="s">
        <v>9</v>
      </c>
      <c r="C36" s="175" t="s">
        <v>28</v>
      </c>
      <c r="D36" s="203"/>
      <c r="E36" s="226"/>
      <c r="F36" s="71"/>
    </row>
    <row r="37" spans="2:6" customFormat="1" ht="25.5">
      <c r="B37" s="182" t="s">
        <v>29</v>
      </c>
      <c r="C37" s="175" t="s">
        <v>30</v>
      </c>
      <c r="D37" s="203">
        <v>388.11</v>
      </c>
      <c r="E37" s="226">
        <v>97.51</v>
      </c>
      <c r="F37" s="71"/>
    </row>
    <row r="38" spans="2:6" customFormat="1">
      <c r="B38" s="182" t="s">
        <v>31</v>
      </c>
      <c r="C38" s="175" t="s">
        <v>32</v>
      </c>
      <c r="D38" s="203"/>
      <c r="E38" s="226"/>
      <c r="F38" s="71"/>
    </row>
    <row r="39" spans="2:6" customFormat="1">
      <c r="B39" s="183" t="s">
        <v>33</v>
      </c>
      <c r="C39" s="184" t="s">
        <v>34</v>
      </c>
      <c r="D39" s="204"/>
      <c r="E39" s="227"/>
      <c r="F39" s="71"/>
    </row>
    <row r="40" spans="2:6" customFormat="1" ht="13.5" thickBot="1">
      <c r="B40" s="97" t="s">
        <v>35</v>
      </c>
      <c r="C40" s="98" t="s">
        <v>36</v>
      </c>
      <c r="D40" s="205">
        <v>-3937.6</v>
      </c>
      <c r="E40" s="232">
        <v>228.45</v>
      </c>
    </row>
    <row r="41" spans="2:6" customFormat="1" ht="13.5" thickBot="1">
      <c r="B41" s="99" t="s">
        <v>37</v>
      </c>
      <c r="C41" s="100" t="s">
        <v>38</v>
      </c>
      <c r="D41" s="206">
        <v>4223.0300000000007</v>
      </c>
      <c r="E41" s="148">
        <f>E26+E27+E40</f>
        <v>4344.2099999999991</v>
      </c>
      <c r="F41" s="77"/>
    </row>
    <row r="42" spans="2:6" customFormat="1">
      <c r="B42" s="93"/>
      <c r="C42" s="93"/>
      <c r="D42" s="94"/>
      <c r="E42" s="94"/>
      <c r="F42" s="77"/>
    </row>
    <row r="43" spans="2:6" customFormat="1" ht="13.5">
      <c r="B43" s="362" t="s">
        <v>60</v>
      </c>
      <c r="C43" s="374"/>
      <c r="D43" s="374"/>
      <c r="E43" s="374"/>
    </row>
    <row r="44" spans="2:6" customFormat="1" ht="18" customHeight="1" thickBot="1">
      <c r="B44" s="360" t="s">
        <v>121</v>
      </c>
      <c r="C44" s="373"/>
      <c r="D44" s="373"/>
      <c r="E44" s="373"/>
    </row>
    <row r="45" spans="2:6" customFormat="1" ht="13.5" thickBot="1">
      <c r="B45" s="214"/>
      <c r="C45" s="29" t="s">
        <v>39</v>
      </c>
      <c r="D45" s="70" t="s">
        <v>125</v>
      </c>
      <c r="E45" s="319" t="s">
        <v>268</v>
      </c>
    </row>
    <row r="46" spans="2:6" customFormat="1">
      <c r="B46" s="13" t="s">
        <v>18</v>
      </c>
      <c r="C46" s="30" t="s">
        <v>112</v>
      </c>
      <c r="D46" s="101"/>
      <c r="E46" s="28"/>
    </row>
    <row r="47" spans="2:6" customFormat="1">
      <c r="B47" s="185" t="s">
        <v>4</v>
      </c>
      <c r="C47" s="186" t="s">
        <v>40</v>
      </c>
      <c r="D47" s="207">
        <v>160.4091</v>
      </c>
      <c r="E47" s="149">
        <v>37.220399999999998</v>
      </c>
    </row>
    <row r="48" spans="2:6" customFormat="1">
      <c r="B48" s="187" t="s">
        <v>6</v>
      </c>
      <c r="C48" s="188" t="s">
        <v>41</v>
      </c>
      <c r="D48" s="207">
        <v>37.220399999999998</v>
      </c>
      <c r="E48" s="149">
        <v>36.322800000000001</v>
      </c>
    </row>
    <row r="49" spans="2:5" customFormat="1">
      <c r="B49" s="120" t="s">
        <v>23</v>
      </c>
      <c r="C49" s="124" t="s">
        <v>113</v>
      </c>
      <c r="D49" s="208"/>
      <c r="E49" s="149"/>
    </row>
    <row r="50" spans="2:5" customFormat="1">
      <c r="B50" s="185" t="s">
        <v>4</v>
      </c>
      <c r="C50" s="186" t="s">
        <v>40</v>
      </c>
      <c r="D50" s="207">
        <v>149.47999999999999</v>
      </c>
      <c r="E50" s="149">
        <v>113.46</v>
      </c>
    </row>
    <row r="51" spans="2:5" customFormat="1">
      <c r="B51" s="185" t="s">
        <v>6</v>
      </c>
      <c r="C51" s="186" t="s">
        <v>114</v>
      </c>
      <c r="D51" s="207">
        <v>111.56</v>
      </c>
      <c r="E51" s="75">
        <v>111.31</v>
      </c>
    </row>
    <row r="52" spans="2:5" customFormat="1">
      <c r="B52" s="185" t="s">
        <v>8</v>
      </c>
      <c r="C52" s="186" t="s">
        <v>115</v>
      </c>
      <c r="D52" s="207">
        <v>156.93</v>
      </c>
      <c r="E52" s="75">
        <v>123.7</v>
      </c>
    </row>
    <row r="53" spans="2:5" customFormat="1" ht="13.5" customHeight="1" thickBot="1">
      <c r="B53" s="189" t="s">
        <v>9</v>
      </c>
      <c r="C53" s="190" t="s">
        <v>41</v>
      </c>
      <c r="D53" s="209">
        <v>113.46</v>
      </c>
      <c r="E53" s="233">
        <v>119.6</v>
      </c>
    </row>
    <row r="54" spans="2:5" customFormat="1">
      <c r="B54" s="109"/>
      <c r="C54" s="110"/>
      <c r="D54" s="111"/>
      <c r="E54" s="111"/>
    </row>
    <row r="55" spans="2:5" customFormat="1" ht="13.5">
      <c r="B55" s="362" t="s">
        <v>62</v>
      </c>
      <c r="C55" s="363"/>
      <c r="D55" s="363"/>
      <c r="E55" s="363"/>
    </row>
    <row r="56" spans="2:5" customFormat="1" ht="17.25" customHeight="1" thickBot="1">
      <c r="B56" s="360" t="s">
        <v>116</v>
      </c>
      <c r="C56" s="364"/>
      <c r="D56" s="364"/>
      <c r="E56" s="364"/>
    </row>
    <row r="57" spans="2:5" customFormat="1" ht="23.25" thickBot="1">
      <c r="B57" s="355" t="s">
        <v>42</v>
      </c>
      <c r="C57" s="356"/>
      <c r="D57" s="18" t="s">
        <v>122</v>
      </c>
      <c r="E57" s="19" t="s">
        <v>117</v>
      </c>
    </row>
    <row r="58" spans="2:5" customFormat="1">
      <c r="B58" s="20" t="s">
        <v>18</v>
      </c>
      <c r="C58" s="126" t="s">
        <v>43</v>
      </c>
      <c r="D58" s="127">
        <f>D64</f>
        <v>4344.21</v>
      </c>
      <c r="E58" s="31">
        <f>D58/E21</f>
        <v>1</v>
      </c>
    </row>
    <row r="59" spans="2:5" customFormat="1" ht="25.5">
      <c r="B59" s="123" t="s">
        <v>4</v>
      </c>
      <c r="C59" s="22" t="s">
        <v>44</v>
      </c>
      <c r="D59" s="80">
        <v>0</v>
      </c>
      <c r="E59" s="81">
        <v>0</v>
      </c>
    </row>
    <row r="60" spans="2:5" customFormat="1" ht="25.5">
      <c r="B60" s="102" t="s">
        <v>6</v>
      </c>
      <c r="C60" s="15" t="s">
        <v>45</v>
      </c>
      <c r="D60" s="78">
        <v>0</v>
      </c>
      <c r="E60" s="79">
        <v>0</v>
      </c>
    </row>
    <row r="61" spans="2:5" customFormat="1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 customFormat="1">
      <c r="B62" s="102" t="s">
        <v>9</v>
      </c>
      <c r="C62" s="15" t="s">
        <v>47</v>
      </c>
      <c r="D62" s="78">
        <v>0</v>
      </c>
      <c r="E62" s="79">
        <v>0</v>
      </c>
    </row>
    <row r="63" spans="2:5" customFormat="1">
      <c r="B63" s="102" t="s">
        <v>29</v>
      </c>
      <c r="C63" s="15" t="s">
        <v>48</v>
      </c>
      <c r="D63" s="78">
        <v>0</v>
      </c>
      <c r="E63" s="79">
        <v>0</v>
      </c>
    </row>
    <row r="64" spans="2:5" customFormat="1">
      <c r="B64" s="123" t="s">
        <v>31</v>
      </c>
      <c r="C64" s="22" t="s">
        <v>49</v>
      </c>
      <c r="D64" s="80">
        <f>E21</f>
        <v>4344.21</v>
      </c>
      <c r="E64" s="81">
        <f>E58</f>
        <v>1</v>
      </c>
    </row>
    <row r="65" spans="2:5" customFormat="1">
      <c r="B65" s="123" t="s">
        <v>33</v>
      </c>
      <c r="C65" s="22" t="s">
        <v>118</v>
      </c>
      <c r="D65" s="80">
        <v>0</v>
      </c>
      <c r="E65" s="81">
        <v>0</v>
      </c>
    </row>
    <row r="66" spans="2:5" customFormat="1">
      <c r="B66" s="123" t="s">
        <v>50</v>
      </c>
      <c r="C66" s="22" t="s">
        <v>51</v>
      </c>
      <c r="D66" s="80">
        <v>0</v>
      </c>
      <c r="E66" s="81">
        <v>0</v>
      </c>
    </row>
    <row r="67" spans="2:5" customFormat="1">
      <c r="B67" s="102" t="s">
        <v>52</v>
      </c>
      <c r="C67" s="15" t="s">
        <v>53</v>
      </c>
      <c r="D67" s="78">
        <v>0</v>
      </c>
      <c r="E67" s="79">
        <v>0</v>
      </c>
    </row>
    <row r="68" spans="2:5" customFormat="1">
      <c r="B68" s="102" t="s">
        <v>54</v>
      </c>
      <c r="C68" s="15" t="s">
        <v>55</v>
      </c>
      <c r="D68" s="78">
        <v>0</v>
      </c>
      <c r="E68" s="79">
        <v>0</v>
      </c>
    </row>
    <row r="69" spans="2:5" customFormat="1">
      <c r="B69" s="102" t="s">
        <v>56</v>
      </c>
      <c r="C69" s="15" t="s">
        <v>57</v>
      </c>
      <c r="D69" s="274">
        <v>0</v>
      </c>
      <c r="E69" s="79">
        <v>0</v>
      </c>
    </row>
    <row r="70" spans="2:5" customFormat="1">
      <c r="B70" s="129" t="s">
        <v>58</v>
      </c>
      <c r="C70" s="113" t="s">
        <v>59</v>
      </c>
      <c r="D70" s="114">
        <v>0</v>
      </c>
      <c r="E70" s="115">
        <v>0</v>
      </c>
    </row>
    <row r="71" spans="2:5" customFormat="1">
      <c r="B71" s="130" t="s">
        <v>23</v>
      </c>
      <c r="C71" s="121" t="s">
        <v>61</v>
      </c>
      <c r="D71" s="122">
        <v>0</v>
      </c>
      <c r="E71" s="66">
        <v>0</v>
      </c>
    </row>
    <row r="72" spans="2:5" customFormat="1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 customFormat="1">
      <c r="B73" s="132" t="s">
        <v>62</v>
      </c>
      <c r="C73" s="24" t="s">
        <v>65</v>
      </c>
      <c r="D73" s="25">
        <v>0</v>
      </c>
      <c r="E73" s="26">
        <v>0</v>
      </c>
    </row>
    <row r="74" spans="2:5" customFormat="1">
      <c r="B74" s="130" t="s">
        <v>64</v>
      </c>
      <c r="C74" s="121" t="s">
        <v>66</v>
      </c>
      <c r="D74" s="122">
        <f>D58</f>
        <v>4344.21</v>
      </c>
      <c r="E74" s="66">
        <f>E58+E72-E73</f>
        <v>1</v>
      </c>
    </row>
    <row r="75" spans="2:5" customFormat="1">
      <c r="B75" s="102" t="s">
        <v>4</v>
      </c>
      <c r="C75" s="15" t="s">
        <v>67</v>
      </c>
      <c r="D75" s="78">
        <f>D74</f>
        <v>4344.21</v>
      </c>
      <c r="E75" s="79">
        <f>E74</f>
        <v>1</v>
      </c>
    </row>
    <row r="76" spans="2:5" customFormat="1">
      <c r="B76" s="102" t="s">
        <v>6</v>
      </c>
      <c r="C76" s="15" t="s">
        <v>119</v>
      </c>
      <c r="D76" s="78">
        <v>0</v>
      </c>
      <c r="E76" s="79">
        <v>0</v>
      </c>
    </row>
    <row r="77" spans="2:5" customFormat="1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 customFormat="1">
      <c r="B78" s="1"/>
      <c r="C78" s="1"/>
      <c r="D78" s="2"/>
      <c r="E78" s="2"/>
    </row>
    <row r="79" spans="2:5" customFormat="1">
      <c r="B79" s="1"/>
      <c r="C79" s="1"/>
      <c r="D79" s="2"/>
      <c r="E79" s="2"/>
    </row>
    <row r="80" spans="2:5" customFormat="1">
      <c r="B80" s="1"/>
      <c r="C80" s="1"/>
      <c r="D80" s="2"/>
      <c r="E80" s="2"/>
    </row>
    <row r="81" spans="2:5" customFormat="1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 customFormat="1">
      <c r="B1" s="1"/>
      <c r="C1" s="1"/>
      <c r="D1" s="2"/>
      <c r="E1" s="2"/>
    </row>
    <row r="2" spans="2:7" customFormat="1" ht="15.75">
      <c r="B2" s="357" t="s">
        <v>0</v>
      </c>
      <c r="C2" s="357"/>
      <c r="D2" s="357"/>
      <c r="E2" s="357"/>
      <c r="G2" s="71"/>
    </row>
    <row r="3" spans="2:7" customFormat="1" ht="15.75">
      <c r="B3" s="357" t="s">
        <v>267</v>
      </c>
      <c r="C3" s="357"/>
      <c r="D3" s="357"/>
      <c r="E3" s="357"/>
    </row>
    <row r="4" spans="2:7" customFormat="1" ht="15">
      <c r="B4" s="147"/>
      <c r="C4" s="147"/>
      <c r="D4" s="147"/>
      <c r="E4" s="147"/>
    </row>
    <row r="5" spans="2:7" customFormat="1" ht="21" customHeight="1">
      <c r="B5" s="358" t="s">
        <v>1</v>
      </c>
      <c r="C5" s="358"/>
      <c r="D5" s="358"/>
      <c r="E5" s="358"/>
    </row>
    <row r="6" spans="2:7" customFormat="1" ht="14.25">
      <c r="B6" s="359" t="s">
        <v>200</v>
      </c>
      <c r="C6" s="359"/>
      <c r="D6" s="359"/>
      <c r="E6" s="359"/>
    </row>
    <row r="7" spans="2:7" customFormat="1" ht="14.25">
      <c r="B7" s="220"/>
      <c r="C7" s="220"/>
      <c r="D7" s="220"/>
      <c r="E7" s="220"/>
    </row>
    <row r="8" spans="2:7" customFormat="1" ht="13.5">
      <c r="B8" s="361" t="s">
        <v>18</v>
      </c>
      <c r="C8" s="363"/>
      <c r="D8" s="363"/>
      <c r="E8" s="363"/>
    </row>
    <row r="9" spans="2:7" customFormat="1" ht="16.5" thickBot="1">
      <c r="B9" s="360" t="s">
        <v>103</v>
      </c>
      <c r="C9" s="360"/>
      <c r="D9" s="360"/>
      <c r="E9" s="360"/>
    </row>
    <row r="10" spans="2:7" customFormat="1" ht="13.5" thickBot="1">
      <c r="B10" s="221"/>
      <c r="C10" s="76" t="s">
        <v>2</v>
      </c>
      <c r="D10" s="70" t="s">
        <v>125</v>
      </c>
      <c r="E10" s="319" t="s">
        <v>268</v>
      </c>
    </row>
    <row r="11" spans="2:7" customFormat="1">
      <c r="B11" s="90" t="s">
        <v>3</v>
      </c>
      <c r="C11" s="128" t="s">
        <v>109</v>
      </c>
      <c r="D11" s="243">
        <v>21548.05</v>
      </c>
      <c r="E11" s="244"/>
    </row>
    <row r="12" spans="2:7" customFormat="1">
      <c r="B12" s="174" t="s">
        <v>4</v>
      </c>
      <c r="C12" s="175" t="s">
        <v>5</v>
      </c>
      <c r="D12" s="283">
        <v>21548.05</v>
      </c>
      <c r="E12" s="304"/>
    </row>
    <row r="13" spans="2:7" customFormat="1">
      <c r="B13" s="174" t="s">
        <v>6</v>
      </c>
      <c r="C13" s="176" t="s">
        <v>7</v>
      </c>
      <c r="D13" s="276"/>
      <c r="E13" s="305"/>
    </row>
    <row r="14" spans="2:7" customFormat="1">
      <c r="B14" s="174" t="s">
        <v>8</v>
      </c>
      <c r="C14" s="176" t="s">
        <v>10</v>
      </c>
      <c r="D14" s="276"/>
      <c r="E14" s="305"/>
    </row>
    <row r="15" spans="2:7" customFormat="1">
      <c r="B15" s="174" t="s">
        <v>106</v>
      </c>
      <c r="C15" s="176" t="s">
        <v>11</v>
      </c>
      <c r="D15" s="276"/>
      <c r="E15" s="305"/>
    </row>
    <row r="16" spans="2:7" customFormat="1">
      <c r="B16" s="177" t="s">
        <v>107</v>
      </c>
      <c r="C16" s="178" t="s">
        <v>12</v>
      </c>
      <c r="D16" s="278"/>
      <c r="E16" s="306"/>
    </row>
    <row r="17" spans="2:6" customFormat="1">
      <c r="B17" s="9" t="s">
        <v>13</v>
      </c>
      <c r="C17" s="11" t="s">
        <v>65</v>
      </c>
      <c r="D17" s="279"/>
      <c r="E17" s="307"/>
    </row>
    <row r="18" spans="2:6" customFormat="1">
      <c r="B18" s="174" t="s">
        <v>4</v>
      </c>
      <c r="C18" s="175" t="s">
        <v>11</v>
      </c>
      <c r="D18" s="278"/>
      <c r="E18" s="306"/>
    </row>
    <row r="19" spans="2:6" customFormat="1" ht="15" customHeight="1">
      <c r="B19" s="174" t="s">
        <v>6</v>
      </c>
      <c r="C19" s="176" t="s">
        <v>108</v>
      </c>
      <c r="D19" s="276"/>
      <c r="E19" s="305"/>
    </row>
    <row r="20" spans="2:6" customFormat="1" ht="13.5" thickBot="1">
      <c r="B20" s="179" t="s">
        <v>8</v>
      </c>
      <c r="C20" s="180" t="s">
        <v>14</v>
      </c>
      <c r="D20" s="245"/>
      <c r="E20" s="246"/>
    </row>
    <row r="21" spans="2:6" customFormat="1" ht="13.5" thickBot="1">
      <c r="B21" s="367" t="s">
        <v>110</v>
      </c>
      <c r="C21" s="368"/>
      <c r="D21" s="247">
        <v>21548.05</v>
      </c>
      <c r="E21" s="148"/>
      <c r="F21" s="77"/>
    </row>
    <row r="22" spans="2:6" customFormat="1">
      <c r="B22" s="3"/>
      <c r="C22" s="7"/>
      <c r="D22" s="8"/>
      <c r="E22" s="8"/>
    </row>
    <row r="23" spans="2:6" customFormat="1" ht="13.5">
      <c r="B23" s="361" t="s">
        <v>104</v>
      </c>
      <c r="C23" s="371"/>
      <c r="D23" s="371"/>
      <c r="E23" s="371"/>
    </row>
    <row r="24" spans="2:6" customFormat="1" ht="15.75" customHeight="1" thickBot="1">
      <c r="B24" s="360" t="s">
        <v>105</v>
      </c>
      <c r="C24" s="372"/>
      <c r="D24" s="372"/>
      <c r="E24" s="372"/>
    </row>
    <row r="25" spans="2:6" customFormat="1" ht="13.5" thickBot="1">
      <c r="B25" s="221"/>
      <c r="C25" s="181" t="s">
        <v>2</v>
      </c>
      <c r="D25" s="70" t="s">
        <v>125</v>
      </c>
      <c r="E25" s="319" t="s">
        <v>268</v>
      </c>
    </row>
    <row r="26" spans="2:6" customFormat="1">
      <c r="B26" s="95" t="s">
        <v>15</v>
      </c>
      <c r="C26" s="96" t="s">
        <v>16</v>
      </c>
      <c r="D26" s="201">
        <v>0</v>
      </c>
      <c r="E26" s="231">
        <f>D21</f>
        <v>21548.05</v>
      </c>
    </row>
    <row r="27" spans="2:6" customFormat="1">
      <c r="B27" s="9" t="s">
        <v>17</v>
      </c>
      <c r="C27" s="10" t="s">
        <v>111</v>
      </c>
      <c r="D27" s="202">
        <v>26569.739999999998</v>
      </c>
      <c r="E27" s="224">
        <v>-21253.66</v>
      </c>
      <c r="F27" s="71"/>
    </row>
    <row r="28" spans="2:6" customFormat="1">
      <c r="B28" s="9" t="s">
        <v>18</v>
      </c>
      <c r="C28" s="10" t="s">
        <v>19</v>
      </c>
      <c r="D28" s="202">
        <v>26932.44</v>
      </c>
      <c r="E28" s="225">
        <v>0</v>
      </c>
      <c r="F28" s="71"/>
    </row>
    <row r="29" spans="2:6" customFormat="1">
      <c r="B29" s="182" t="s">
        <v>4</v>
      </c>
      <c r="C29" s="175" t="s">
        <v>20</v>
      </c>
      <c r="D29" s="203"/>
      <c r="E29" s="226"/>
      <c r="F29" s="71"/>
    </row>
    <row r="30" spans="2:6" customFormat="1">
      <c r="B30" s="182" t="s">
        <v>6</v>
      </c>
      <c r="C30" s="175" t="s">
        <v>21</v>
      </c>
      <c r="D30" s="203"/>
      <c r="E30" s="226"/>
      <c r="F30" s="71"/>
    </row>
    <row r="31" spans="2:6" customFormat="1">
      <c r="B31" s="182" t="s">
        <v>8</v>
      </c>
      <c r="C31" s="175" t="s">
        <v>22</v>
      </c>
      <c r="D31" s="203">
        <v>26932.44</v>
      </c>
      <c r="E31" s="226"/>
      <c r="F31" s="71"/>
    </row>
    <row r="32" spans="2:6" customFormat="1">
      <c r="B32" s="92" t="s">
        <v>23</v>
      </c>
      <c r="C32" s="11" t="s">
        <v>24</v>
      </c>
      <c r="D32" s="202">
        <v>362.7</v>
      </c>
      <c r="E32" s="225">
        <v>21253.66</v>
      </c>
      <c r="F32" s="71"/>
    </row>
    <row r="33" spans="2:6" customFormat="1">
      <c r="B33" s="182" t="s">
        <v>4</v>
      </c>
      <c r="C33" s="175" t="s">
        <v>25</v>
      </c>
      <c r="D33" s="203"/>
      <c r="E33" s="226"/>
      <c r="F33" s="71"/>
    </row>
    <row r="34" spans="2:6" customFormat="1">
      <c r="B34" s="182" t="s">
        <v>6</v>
      </c>
      <c r="C34" s="175" t="s">
        <v>26</v>
      </c>
      <c r="D34" s="203"/>
      <c r="E34" s="226"/>
      <c r="F34" s="71"/>
    </row>
    <row r="35" spans="2:6" customFormat="1">
      <c r="B35" s="182" t="s">
        <v>8</v>
      </c>
      <c r="C35" s="175" t="s">
        <v>27</v>
      </c>
      <c r="D35" s="203">
        <v>23.75</v>
      </c>
      <c r="E35" s="226">
        <v>40.619999999999997</v>
      </c>
      <c r="F35" s="71"/>
    </row>
    <row r="36" spans="2:6" customFormat="1">
      <c r="B36" s="182" t="s">
        <v>9</v>
      </c>
      <c r="C36" s="175" t="s">
        <v>28</v>
      </c>
      <c r="D36" s="203"/>
      <c r="E36" s="226"/>
      <c r="F36" s="71"/>
    </row>
    <row r="37" spans="2:6" customFormat="1" ht="25.5">
      <c r="B37" s="182" t="s">
        <v>29</v>
      </c>
      <c r="C37" s="175" t="s">
        <v>30</v>
      </c>
      <c r="D37" s="203">
        <v>338.95</v>
      </c>
      <c r="E37" s="226">
        <v>243.44</v>
      </c>
      <c r="F37" s="71"/>
    </row>
    <row r="38" spans="2:6" customFormat="1">
      <c r="B38" s="182" t="s">
        <v>31</v>
      </c>
      <c r="C38" s="175" t="s">
        <v>32</v>
      </c>
      <c r="D38" s="203"/>
      <c r="E38" s="226"/>
      <c r="F38" s="71"/>
    </row>
    <row r="39" spans="2:6" customFormat="1">
      <c r="B39" s="183" t="s">
        <v>33</v>
      </c>
      <c r="C39" s="184" t="s">
        <v>34</v>
      </c>
      <c r="D39" s="204"/>
      <c r="E39" s="227">
        <v>20969.599999999999</v>
      </c>
      <c r="F39" s="71"/>
    </row>
    <row r="40" spans="2:6" customFormat="1" ht="13.5" thickBot="1">
      <c r="B40" s="97" t="s">
        <v>35</v>
      </c>
      <c r="C40" s="98" t="s">
        <v>36</v>
      </c>
      <c r="D40" s="205">
        <v>-5021.6899999999996</v>
      </c>
      <c r="E40" s="232">
        <v>-294.39</v>
      </c>
    </row>
    <row r="41" spans="2:6" customFormat="1" ht="13.5" thickBot="1">
      <c r="B41" s="99" t="s">
        <v>37</v>
      </c>
      <c r="C41" s="100" t="s">
        <v>38</v>
      </c>
      <c r="D41" s="206">
        <v>21548.05</v>
      </c>
      <c r="E41" s="148">
        <v>0</v>
      </c>
      <c r="F41" s="77"/>
    </row>
    <row r="42" spans="2:6" customFormat="1">
      <c r="B42" s="93"/>
      <c r="C42" s="93"/>
      <c r="D42" s="94"/>
      <c r="E42" s="94"/>
      <c r="F42" s="77"/>
    </row>
    <row r="43" spans="2:6" customFormat="1" ht="13.5">
      <c r="B43" s="362" t="s">
        <v>60</v>
      </c>
      <c r="C43" s="374"/>
      <c r="D43" s="374"/>
      <c r="E43" s="374"/>
    </row>
    <row r="44" spans="2:6" customFormat="1" ht="18" customHeight="1" thickBot="1">
      <c r="B44" s="360" t="s">
        <v>121</v>
      </c>
      <c r="C44" s="373"/>
      <c r="D44" s="373"/>
      <c r="E44" s="373"/>
    </row>
    <row r="45" spans="2:6" customFormat="1" ht="13.5" thickBot="1">
      <c r="B45" s="221"/>
      <c r="C45" s="29" t="s">
        <v>39</v>
      </c>
      <c r="D45" s="70" t="s">
        <v>125</v>
      </c>
      <c r="E45" s="319" t="s">
        <v>268</v>
      </c>
    </row>
    <row r="46" spans="2:6" customFormat="1">
      <c r="B46" s="13" t="s">
        <v>18</v>
      </c>
      <c r="C46" s="30" t="s">
        <v>112</v>
      </c>
      <c r="D46" s="101"/>
      <c r="E46" s="28"/>
    </row>
    <row r="47" spans="2:6" customFormat="1">
      <c r="B47" s="185" t="s">
        <v>4</v>
      </c>
      <c r="C47" s="186" t="s">
        <v>40</v>
      </c>
      <c r="D47" s="207">
        <v>160.4091</v>
      </c>
      <c r="E47" s="149">
        <v>199.22380000000001</v>
      </c>
    </row>
    <row r="48" spans="2:6" customFormat="1">
      <c r="B48" s="187" t="s">
        <v>6</v>
      </c>
      <c r="C48" s="188" t="s">
        <v>41</v>
      </c>
      <c r="D48" s="207">
        <v>199.22380000000001</v>
      </c>
      <c r="E48" s="149"/>
    </row>
    <row r="49" spans="2:5" customFormat="1">
      <c r="B49" s="120" t="s">
        <v>23</v>
      </c>
      <c r="C49" s="124" t="s">
        <v>113</v>
      </c>
      <c r="D49" s="208"/>
      <c r="E49" s="149"/>
    </row>
    <row r="50" spans="2:5" customFormat="1">
      <c r="B50" s="185" t="s">
        <v>4</v>
      </c>
      <c r="C50" s="186" t="s">
        <v>40</v>
      </c>
      <c r="D50" s="207">
        <v>149.47999999999999</v>
      </c>
      <c r="E50" s="149">
        <v>108.16</v>
      </c>
    </row>
    <row r="51" spans="2:5" customFormat="1">
      <c r="B51" s="185" t="s">
        <v>6</v>
      </c>
      <c r="C51" s="186" t="s">
        <v>114</v>
      </c>
      <c r="D51" s="207">
        <v>107.61</v>
      </c>
      <c r="E51" s="75">
        <v>105.31</v>
      </c>
    </row>
    <row r="52" spans="2:5" customFormat="1">
      <c r="B52" s="185" t="s">
        <v>8</v>
      </c>
      <c r="C52" s="186" t="s">
        <v>115</v>
      </c>
      <c r="D52" s="207">
        <v>136.74</v>
      </c>
      <c r="E52" s="75">
        <v>112.69</v>
      </c>
    </row>
    <row r="53" spans="2:5" customFormat="1" ht="13.5" customHeight="1" thickBot="1">
      <c r="B53" s="189" t="s">
        <v>9</v>
      </c>
      <c r="C53" s="190" t="s">
        <v>41</v>
      </c>
      <c r="D53" s="209">
        <v>108.16</v>
      </c>
      <c r="E53" s="233"/>
    </row>
    <row r="54" spans="2:5" customFormat="1">
      <c r="B54" s="109"/>
      <c r="C54" s="110"/>
      <c r="D54" s="111"/>
      <c r="E54" s="111"/>
    </row>
    <row r="55" spans="2:5" customFormat="1" ht="13.5">
      <c r="B55" s="362" t="s">
        <v>62</v>
      </c>
      <c r="C55" s="363"/>
      <c r="D55" s="363"/>
      <c r="E55" s="363"/>
    </row>
    <row r="56" spans="2:5" customFormat="1" ht="17.25" customHeight="1" thickBot="1">
      <c r="B56" s="360" t="s">
        <v>116</v>
      </c>
      <c r="C56" s="364"/>
      <c r="D56" s="364"/>
      <c r="E56" s="364"/>
    </row>
    <row r="57" spans="2:5" customFormat="1" ht="23.25" thickBot="1">
      <c r="B57" s="355" t="s">
        <v>42</v>
      </c>
      <c r="C57" s="356"/>
      <c r="D57" s="18" t="s">
        <v>122</v>
      </c>
      <c r="E57" s="19" t="s">
        <v>117</v>
      </c>
    </row>
    <row r="58" spans="2:5" customFormat="1">
      <c r="B58" s="20" t="s">
        <v>18</v>
      </c>
      <c r="C58" s="126" t="s">
        <v>43</v>
      </c>
      <c r="D58" s="127">
        <f>D64</f>
        <v>0</v>
      </c>
      <c r="E58" s="31">
        <v>0</v>
      </c>
    </row>
    <row r="59" spans="2:5" customFormat="1" ht="25.5">
      <c r="B59" s="123" t="s">
        <v>4</v>
      </c>
      <c r="C59" s="22" t="s">
        <v>44</v>
      </c>
      <c r="D59" s="80">
        <v>0</v>
      </c>
      <c r="E59" s="81">
        <v>0</v>
      </c>
    </row>
    <row r="60" spans="2:5" customFormat="1" ht="25.5">
      <c r="B60" s="102" t="s">
        <v>6</v>
      </c>
      <c r="C60" s="15" t="s">
        <v>45</v>
      </c>
      <c r="D60" s="78">
        <v>0</v>
      </c>
      <c r="E60" s="79">
        <v>0</v>
      </c>
    </row>
    <row r="61" spans="2:5" customFormat="1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 customFormat="1">
      <c r="B62" s="102" t="s">
        <v>9</v>
      </c>
      <c r="C62" s="15" t="s">
        <v>47</v>
      </c>
      <c r="D62" s="78">
        <v>0</v>
      </c>
      <c r="E62" s="79">
        <v>0</v>
      </c>
    </row>
    <row r="63" spans="2:5" customFormat="1">
      <c r="B63" s="102" t="s">
        <v>29</v>
      </c>
      <c r="C63" s="15" t="s">
        <v>48</v>
      </c>
      <c r="D63" s="78">
        <v>0</v>
      </c>
      <c r="E63" s="79">
        <v>0</v>
      </c>
    </row>
    <row r="64" spans="2:5" customFormat="1">
      <c r="B64" s="123" t="s">
        <v>31</v>
      </c>
      <c r="C64" s="22" t="s">
        <v>49</v>
      </c>
      <c r="D64" s="80">
        <f>E21</f>
        <v>0</v>
      </c>
      <c r="E64" s="81">
        <f>E58</f>
        <v>0</v>
      </c>
    </row>
    <row r="65" spans="2:5" customFormat="1">
      <c r="B65" s="123" t="s">
        <v>33</v>
      </c>
      <c r="C65" s="22" t="s">
        <v>118</v>
      </c>
      <c r="D65" s="80">
        <v>0</v>
      </c>
      <c r="E65" s="81">
        <v>0</v>
      </c>
    </row>
    <row r="66" spans="2:5" customFormat="1">
      <c r="B66" s="123" t="s">
        <v>50</v>
      </c>
      <c r="C66" s="22" t="s">
        <v>51</v>
      </c>
      <c r="D66" s="80">
        <v>0</v>
      </c>
      <c r="E66" s="81">
        <v>0</v>
      </c>
    </row>
    <row r="67" spans="2:5" customFormat="1">
      <c r="B67" s="102" t="s">
        <v>52</v>
      </c>
      <c r="C67" s="15" t="s">
        <v>53</v>
      </c>
      <c r="D67" s="78">
        <v>0</v>
      </c>
      <c r="E67" s="79">
        <v>0</v>
      </c>
    </row>
    <row r="68" spans="2:5" customFormat="1">
      <c r="B68" s="102" t="s">
        <v>54</v>
      </c>
      <c r="C68" s="15" t="s">
        <v>55</v>
      </c>
      <c r="D68" s="78">
        <v>0</v>
      </c>
      <c r="E68" s="79">
        <v>0</v>
      </c>
    </row>
    <row r="69" spans="2:5" customFormat="1">
      <c r="B69" s="102" t="s">
        <v>56</v>
      </c>
      <c r="C69" s="15" t="s">
        <v>57</v>
      </c>
      <c r="D69" s="274">
        <v>0</v>
      </c>
      <c r="E69" s="79">
        <v>0</v>
      </c>
    </row>
    <row r="70" spans="2:5" customFormat="1">
      <c r="B70" s="129" t="s">
        <v>58</v>
      </c>
      <c r="C70" s="113" t="s">
        <v>59</v>
      </c>
      <c r="D70" s="114">
        <v>0</v>
      </c>
      <c r="E70" s="115">
        <v>0</v>
      </c>
    </row>
    <row r="71" spans="2:5" customFormat="1">
      <c r="B71" s="130" t="s">
        <v>23</v>
      </c>
      <c r="C71" s="121" t="s">
        <v>61</v>
      </c>
      <c r="D71" s="122">
        <v>0</v>
      </c>
      <c r="E71" s="66">
        <v>0</v>
      </c>
    </row>
    <row r="72" spans="2:5" customFormat="1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 customFormat="1">
      <c r="B73" s="132" t="s">
        <v>62</v>
      </c>
      <c r="C73" s="24" t="s">
        <v>65</v>
      </c>
      <c r="D73" s="25">
        <v>0</v>
      </c>
      <c r="E73" s="26">
        <v>0</v>
      </c>
    </row>
    <row r="74" spans="2:5" customFormat="1">
      <c r="B74" s="130" t="s">
        <v>64</v>
      </c>
      <c r="C74" s="121" t="s">
        <v>66</v>
      </c>
      <c r="D74" s="122">
        <f>D58</f>
        <v>0</v>
      </c>
      <c r="E74" s="66">
        <f>E58+E72-E73</f>
        <v>0</v>
      </c>
    </row>
    <row r="75" spans="2:5" customFormat="1">
      <c r="B75" s="102" t="s">
        <v>4</v>
      </c>
      <c r="C75" s="15" t="s">
        <v>67</v>
      </c>
      <c r="D75" s="78">
        <f>D74</f>
        <v>0</v>
      </c>
      <c r="E75" s="79">
        <f>E74</f>
        <v>0</v>
      </c>
    </row>
    <row r="76" spans="2:5" customFormat="1">
      <c r="B76" s="102" t="s">
        <v>6</v>
      </c>
      <c r="C76" s="15" t="s">
        <v>119</v>
      </c>
      <c r="D76" s="78">
        <v>0</v>
      </c>
      <c r="E76" s="79">
        <v>0</v>
      </c>
    </row>
    <row r="77" spans="2:5" customFormat="1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 customFormat="1">
      <c r="B78" s="1"/>
      <c r="C78" s="1"/>
      <c r="D78" s="2"/>
      <c r="E78" s="2"/>
    </row>
    <row r="79" spans="2:5" customFormat="1">
      <c r="B79" s="1"/>
      <c r="C79" s="1"/>
      <c r="D79" s="2"/>
      <c r="E79" s="2"/>
    </row>
    <row r="80" spans="2:5" customFormat="1">
      <c r="B80" s="1"/>
      <c r="C80" s="1"/>
      <c r="D80" s="2"/>
      <c r="E80" s="2"/>
    </row>
    <row r="81" spans="2:5" customFormat="1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3"/>
  <dimension ref="A1:F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141"/>
      <c r="C4" s="141"/>
      <c r="D4" s="141"/>
      <c r="E4" s="141"/>
    </row>
    <row r="5" spans="2:5" ht="21" customHeight="1">
      <c r="B5" s="358" t="s">
        <v>1</v>
      </c>
      <c r="C5" s="358"/>
      <c r="D5" s="358"/>
      <c r="E5" s="358"/>
    </row>
    <row r="6" spans="2:5" ht="14.25">
      <c r="B6" s="359" t="s">
        <v>201</v>
      </c>
      <c r="C6" s="359"/>
      <c r="D6" s="359"/>
      <c r="E6" s="359"/>
    </row>
    <row r="7" spans="2:5" ht="14.25">
      <c r="B7" s="139"/>
      <c r="C7" s="139"/>
      <c r="D7" s="139"/>
      <c r="E7" s="139"/>
    </row>
    <row r="8" spans="2:5" ht="13.5">
      <c r="B8" s="361" t="s">
        <v>18</v>
      </c>
      <c r="C8" s="363"/>
      <c r="D8" s="363"/>
      <c r="E8" s="363"/>
    </row>
    <row r="9" spans="2:5" ht="16.5" thickBot="1">
      <c r="B9" s="360" t="s">
        <v>103</v>
      </c>
      <c r="C9" s="360"/>
      <c r="D9" s="360"/>
      <c r="E9" s="360"/>
    </row>
    <row r="10" spans="2:5" ht="13.5" thickBot="1">
      <c r="B10" s="140"/>
      <c r="C10" s="76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28" t="s">
        <v>109</v>
      </c>
      <c r="D11" s="243">
        <v>53480.71</v>
      </c>
      <c r="E11" s="244">
        <f>SUM(E12:E14)</f>
        <v>64061.72</v>
      </c>
    </row>
    <row r="12" spans="2:5">
      <c r="B12" s="174" t="s">
        <v>4</v>
      </c>
      <c r="C12" s="175" t="s">
        <v>5</v>
      </c>
      <c r="D12" s="283">
        <v>53480.71</v>
      </c>
      <c r="E12" s="304">
        <v>64061.72</v>
      </c>
    </row>
    <row r="13" spans="2:5">
      <c r="B13" s="174" t="s">
        <v>6</v>
      </c>
      <c r="C13" s="176" t="s">
        <v>7</v>
      </c>
      <c r="D13" s="276"/>
      <c r="E13" s="305"/>
    </row>
    <row r="14" spans="2:5">
      <c r="B14" s="174" t="s">
        <v>8</v>
      </c>
      <c r="C14" s="176" t="s">
        <v>10</v>
      </c>
      <c r="D14" s="276"/>
      <c r="E14" s="305"/>
    </row>
    <row r="15" spans="2:5">
      <c r="B15" s="174" t="s">
        <v>106</v>
      </c>
      <c r="C15" s="176" t="s">
        <v>11</v>
      </c>
      <c r="D15" s="276"/>
      <c r="E15" s="305"/>
    </row>
    <row r="16" spans="2:5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53480.71</v>
      </c>
      <c r="E21" s="148">
        <f>E11-E17</f>
        <v>64061.72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62665.32</v>
      </c>
      <c r="E26" s="231">
        <f>D21</f>
        <v>53480.71</v>
      </c>
    </row>
    <row r="27" spans="2:6">
      <c r="B27" s="9" t="s">
        <v>17</v>
      </c>
      <c r="C27" s="10" t="s">
        <v>111</v>
      </c>
      <c r="D27" s="202">
        <v>7076.4700000000084</v>
      </c>
      <c r="E27" s="224">
        <v>1857.26</v>
      </c>
      <c r="F27" s="71"/>
    </row>
    <row r="28" spans="2:6">
      <c r="B28" s="9" t="s">
        <v>18</v>
      </c>
      <c r="C28" s="10" t="s">
        <v>19</v>
      </c>
      <c r="D28" s="202">
        <v>49805.41</v>
      </c>
      <c r="E28" s="225">
        <v>11348.1</v>
      </c>
      <c r="F28" s="71"/>
    </row>
    <row r="29" spans="2:6">
      <c r="B29" s="182" t="s">
        <v>4</v>
      </c>
      <c r="C29" s="175" t="s">
        <v>20</v>
      </c>
      <c r="D29" s="203">
        <v>15932.61</v>
      </c>
      <c r="E29" s="226">
        <v>10849.63</v>
      </c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>
        <v>33872.800000000003</v>
      </c>
      <c r="E31" s="226">
        <v>498.47</v>
      </c>
      <c r="F31" s="71"/>
    </row>
    <row r="32" spans="2:6">
      <c r="B32" s="92" t="s">
        <v>23</v>
      </c>
      <c r="C32" s="11" t="s">
        <v>24</v>
      </c>
      <c r="D32" s="202">
        <v>42728.939999999995</v>
      </c>
      <c r="E32" s="225">
        <v>9490.84</v>
      </c>
      <c r="F32" s="71"/>
    </row>
    <row r="33" spans="2:6">
      <c r="B33" s="182" t="s">
        <v>4</v>
      </c>
      <c r="C33" s="175" t="s">
        <v>25</v>
      </c>
      <c r="D33" s="203">
        <v>3994.46</v>
      </c>
      <c r="E33" s="226">
        <v>792.39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465.69</v>
      </c>
      <c r="E35" s="226">
        <v>348.79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983.45</v>
      </c>
      <c r="E37" s="226">
        <v>837.63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>
        <v>37285.339999999997</v>
      </c>
      <c r="E39" s="227">
        <v>7512.03</v>
      </c>
      <c r="F39" s="71"/>
    </row>
    <row r="40" spans="2:6" ht="13.5" thickBot="1">
      <c r="B40" s="97" t="s">
        <v>35</v>
      </c>
      <c r="C40" s="98" t="s">
        <v>36</v>
      </c>
      <c r="D40" s="205">
        <v>-16261.08</v>
      </c>
      <c r="E40" s="232">
        <v>8723.75</v>
      </c>
    </row>
    <row r="41" spans="2:6" ht="13.5" thickBot="1">
      <c r="B41" s="99" t="s">
        <v>37</v>
      </c>
      <c r="C41" s="100" t="s">
        <v>38</v>
      </c>
      <c r="D41" s="206">
        <v>53480.710000000006</v>
      </c>
      <c r="E41" s="148">
        <f>E26+E27+E40</f>
        <v>64061.72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7942.3720000000003</v>
      </c>
      <c r="E47" s="149">
        <v>8330.3289999999997</v>
      </c>
    </row>
    <row r="48" spans="2:6">
      <c r="B48" s="187" t="s">
        <v>6</v>
      </c>
      <c r="C48" s="188" t="s">
        <v>41</v>
      </c>
      <c r="D48" s="207">
        <v>8330.3289999999997</v>
      </c>
      <c r="E48" s="149">
        <v>8575.866</v>
      </c>
    </row>
    <row r="49" spans="2:5">
      <c r="B49" s="120" t="s">
        <v>23</v>
      </c>
      <c r="C49" s="124" t="s">
        <v>113</v>
      </c>
      <c r="D49" s="208"/>
      <c r="E49" s="149"/>
    </row>
    <row r="50" spans="2:5">
      <c r="B50" s="185" t="s">
        <v>4</v>
      </c>
      <c r="C50" s="186" t="s">
        <v>40</v>
      </c>
      <c r="D50" s="207">
        <v>7.89</v>
      </c>
      <c r="E50" s="149">
        <v>6.42</v>
      </c>
    </row>
    <row r="51" spans="2:5">
      <c r="B51" s="185" t="s">
        <v>6</v>
      </c>
      <c r="C51" s="186" t="s">
        <v>114</v>
      </c>
      <c r="D51" s="207">
        <v>6.36</v>
      </c>
      <c r="E51" s="75">
        <v>6.38</v>
      </c>
    </row>
    <row r="52" spans="2:5">
      <c r="B52" s="185" t="s">
        <v>8</v>
      </c>
      <c r="C52" s="186" t="s">
        <v>115</v>
      </c>
      <c r="D52" s="207">
        <v>8.6999999999999993</v>
      </c>
      <c r="E52" s="75">
        <v>7.47</v>
      </c>
    </row>
    <row r="53" spans="2:5" ht="13.5" customHeight="1" thickBot="1">
      <c r="B53" s="189" t="s">
        <v>9</v>
      </c>
      <c r="C53" s="190" t="s">
        <v>41</v>
      </c>
      <c r="D53" s="209">
        <v>6.42</v>
      </c>
      <c r="E53" s="233">
        <v>7.47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6.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64061.72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64061.72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64061.72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64061.72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4"/>
  <dimension ref="A1:F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141"/>
      <c r="C4" s="141"/>
      <c r="D4" s="141"/>
      <c r="E4" s="141"/>
    </row>
    <row r="5" spans="2:5" ht="21" customHeight="1">
      <c r="B5" s="358" t="s">
        <v>1</v>
      </c>
      <c r="C5" s="358"/>
      <c r="D5" s="358"/>
      <c r="E5" s="358"/>
    </row>
    <row r="6" spans="2:5" ht="14.25">
      <c r="B6" s="359" t="s">
        <v>202</v>
      </c>
      <c r="C6" s="359"/>
      <c r="D6" s="359"/>
      <c r="E6" s="359"/>
    </row>
    <row r="7" spans="2:5" ht="14.25">
      <c r="B7" s="139"/>
      <c r="C7" s="139"/>
      <c r="D7" s="139"/>
      <c r="E7" s="139"/>
    </row>
    <row r="8" spans="2:5" ht="13.5">
      <c r="B8" s="361" t="s">
        <v>18</v>
      </c>
      <c r="C8" s="363"/>
      <c r="D8" s="363"/>
      <c r="E8" s="363"/>
    </row>
    <row r="9" spans="2:5" ht="16.5" thickBot="1">
      <c r="B9" s="360" t="s">
        <v>103</v>
      </c>
      <c r="C9" s="360"/>
      <c r="D9" s="360"/>
      <c r="E9" s="360"/>
    </row>
    <row r="10" spans="2:5" ht="13.5" thickBot="1">
      <c r="B10" s="140"/>
      <c r="C10" s="76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28" t="s">
        <v>109</v>
      </c>
      <c r="D11" s="243">
        <v>32188.18</v>
      </c>
      <c r="E11" s="244">
        <f>SUM(E12:E14)</f>
        <v>27799.95</v>
      </c>
    </row>
    <row r="12" spans="2:5">
      <c r="B12" s="174" t="s">
        <v>4</v>
      </c>
      <c r="C12" s="175" t="s">
        <v>5</v>
      </c>
      <c r="D12" s="283">
        <v>32188.18</v>
      </c>
      <c r="E12" s="304">
        <v>27799.95</v>
      </c>
    </row>
    <row r="13" spans="2:5">
      <c r="B13" s="174" t="s">
        <v>6</v>
      </c>
      <c r="C13" s="176" t="s">
        <v>7</v>
      </c>
      <c r="D13" s="276"/>
      <c r="E13" s="305"/>
    </row>
    <row r="14" spans="2:5">
      <c r="B14" s="174" t="s">
        <v>8</v>
      </c>
      <c r="C14" s="176" t="s">
        <v>10</v>
      </c>
      <c r="D14" s="276"/>
      <c r="E14" s="305"/>
    </row>
    <row r="15" spans="2:5">
      <c r="B15" s="174" t="s">
        <v>106</v>
      </c>
      <c r="C15" s="176" t="s">
        <v>11</v>
      </c>
      <c r="D15" s="276"/>
      <c r="E15" s="305"/>
    </row>
    <row r="16" spans="2:5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32188.18</v>
      </c>
      <c r="E21" s="148">
        <f>E11-E17</f>
        <v>27799.95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51498.74</v>
      </c>
      <c r="E26" s="231">
        <f>D21</f>
        <v>32188.18</v>
      </c>
    </row>
    <row r="27" spans="2:6">
      <c r="B27" s="9" t="s">
        <v>17</v>
      </c>
      <c r="C27" s="10" t="s">
        <v>111</v>
      </c>
      <c r="D27" s="202">
        <v>-16598.78</v>
      </c>
      <c r="E27" s="224">
        <v>-7756.58</v>
      </c>
      <c r="F27" s="71"/>
    </row>
    <row r="28" spans="2:6">
      <c r="B28" s="9" t="s">
        <v>18</v>
      </c>
      <c r="C28" s="10" t="s">
        <v>19</v>
      </c>
      <c r="D28" s="202">
        <v>0</v>
      </c>
      <c r="E28" s="225">
        <v>0</v>
      </c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/>
      <c r="E31" s="226"/>
      <c r="F31" s="71"/>
    </row>
    <row r="32" spans="2:6">
      <c r="B32" s="92" t="s">
        <v>23</v>
      </c>
      <c r="C32" s="11" t="s">
        <v>24</v>
      </c>
      <c r="D32" s="202">
        <v>16598.78</v>
      </c>
      <c r="E32" s="225">
        <v>7756.58</v>
      </c>
      <c r="F32" s="71"/>
    </row>
    <row r="33" spans="2:6">
      <c r="B33" s="182" t="s">
        <v>4</v>
      </c>
      <c r="C33" s="175" t="s">
        <v>25</v>
      </c>
      <c r="D33" s="203">
        <v>15754.93</v>
      </c>
      <c r="E33" s="226">
        <v>7120.55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267.51</v>
      </c>
      <c r="E35" s="226">
        <v>227.91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576.34</v>
      </c>
      <c r="E37" s="226">
        <v>408.12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/>
      <c r="E39" s="227"/>
      <c r="F39" s="71"/>
    </row>
    <row r="40" spans="2:6" ht="13.5" thickBot="1">
      <c r="B40" s="97" t="s">
        <v>35</v>
      </c>
      <c r="C40" s="98" t="s">
        <v>36</v>
      </c>
      <c r="D40" s="205">
        <v>-2711.78</v>
      </c>
      <c r="E40" s="232">
        <v>3368.35</v>
      </c>
    </row>
    <row r="41" spans="2:6" ht="13.5" thickBot="1">
      <c r="B41" s="99" t="s">
        <v>37</v>
      </c>
      <c r="C41" s="100" t="s">
        <v>38</v>
      </c>
      <c r="D41" s="206">
        <v>32188.18</v>
      </c>
      <c r="E41" s="148">
        <f>E26+E27+E40</f>
        <v>27799.949999999997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4826.4989999999998</v>
      </c>
      <c r="E47" s="149">
        <v>3241.509</v>
      </c>
    </row>
    <row r="48" spans="2:6">
      <c r="B48" s="187" t="s">
        <v>6</v>
      </c>
      <c r="C48" s="188" t="s">
        <v>41</v>
      </c>
      <c r="D48" s="207">
        <v>3241.509</v>
      </c>
      <c r="E48" s="149">
        <v>2504.5</v>
      </c>
    </row>
    <row r="49" spans="2:5">
      <c r="B49" s="120" t="s">
        <v>23</v>
      </c>
      <c r="C49" s="124" t="s">
        <v>113</v>
      </c>
      <c r="D49" s="208"/>
      <c r="E49" s="149"/>
    </row>
    <row r="50" spans="2:5">
      <c r="B50" s="185" t="s">
        <v>4</v>
      </c>
      <c r="C50" s="186" t="s">
        <v>40</v>
      </c>
      <c r="D50" s="207">
        <v>10.67</v>
      </c>
      <c r="E50" s="149">
        <v>9.93</v>
      </c>
    </row>
    <row r="51" spans="2:5">
      <c r="B51" s="185" t="s">
        <v>6</v>
      </c>
      <c r="C51" s="186" t="s">
        <v>114</v>
      </c>
      <c r="D51" s="207">
        <v>9.89</v>
      </c>
      <c r="E51" s="149">
        <v>9.93</v>
      </c>
    </row>
    <row r="52" spans="2:5">
      <c r="B52" s="185" t="s">
        <v>8</v>
      </c>
      <c r="C52" s="186" t="s">
        <v>115</v>
      </c>
      <c r="D52" s="207">
        <v>10.87</v>
      </c>
      <c r="E52" s="75">
        <v>11.11</v>
      </c>
    </row>
    <row r="53" spans="2:5" ht="12.75" customHeight="1" thickBot="1">
      <c r="B53" s="189" t="s">
        <v>9</v>
      </c>
      <c r="C53" s="190" t="s">
        <v>41</v>
      </c>
      <c r="D53" s="209">
        <v>9.93</v>
      </c>
      <c r="E53" s="233">
        <v>11.1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4.25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27799.95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3.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27799.95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27799.95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27799.95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5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41"/>
      <c r="C4" s="141"/>
      <c r="D4" s="141"/>
      <c r="E4" s="141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203</v>
      </c>
      <c r="C6" s="359"/>
      <c r="D6" s="359"/>
      <c r="E6" s="359"/>
    </row>
    <row r="7" spans="2:7" ht="14.25">
      <c r="B7" s="139"/>
      <c r="C7" s="139"/>
      <c r="D7" s="139"/>
      <c r="E7" s="139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40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2341979.71</v>
      </c>
      <c r="E11" s="244">
        <f>SUM(E12:E14)</f>
        <v>2193806.56</v>
      </c>
    </row>
    <row r="12" spans="2:7">
      <c r="B12" s="174" t="s">
        <v>4</v>
      </c>
      <c r="C12" s="175" t="s">
        <v>5</v>
      </c>
      <c r="D12" s="283">
        <v>2341979.71</v>
      </c>
      <c r="E12" s="304">
        <v>2193806.56</v>
      </c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2341979.71</v>
      </c>
      <c r="E21" s="148">
        <f>E11-E17</f>
        <v>2193806.56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4421637.0599999996</v>
      </c>
      <c r="E26" s="231">
        <f>D21</f>
        <v>2341979.71</v>
      </c>
    </row>
    <row r="27" spans="2:6">
      <c r="B27" s="9" t="s">
        <v>17</v>
      </c>
      <c r="C27" s="10" t="s">
        <v>111</v>
      </c>
      <c r="D27" s="202">
        <v>-1916872.34</v>
      </c>
      <c r="E27" s="224">
        <v>-338400.03</v>
      </c>
      <c r="F27" s="71"/>
    </row>
    <row r="28" spans="2:6">
      <c r="B28" s="9" t="s">
        <v>18</v>
      </c>
      <c r="C28" s="10" t="s">
        <v>19</v>
      </c>
      <c r="D28" s="202">
        <v>0</v>
      </c>
      <c r="E28" s="225">
        <v>0</v>
      </c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/>
      <c r="E31" s="226"/>
      <c r="F31" s="71"/>
    </row>
    <row r="32" spans="2:6">
      <c r="B32" s="92" t="s">
        <v>23</v>
      </c>
      <c r="C32" s="11" t="s">
        <v>24</v>
      </c>
      <c r="D32" s="202">
        <v>1916872.34</v>
      </c>
      <c r="E32" s="225">
        <v>338400.03</v>
      </c>
      <c r="F32" s="71"/>
    </row>
    <row r="33" spans="2:6">
      <c r="B33" s="182" t="s">
        <v>4</v>
      </c>
      <c r="C33" s="175" t="s">
        <v>25</v>
      </c>
      <c r="D33" s="203">
        <v>764327.96</v>
      </c>
      <c r="E33" s="226">
        <v>295732.17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4870.84</v>
      </c>
      <c r="E35" s="226">
        <v>4611.49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49066.68</v>
      </c>
      <c r="E37" s="226">
        <v>38056.370000000003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>
        <v>1098606.8600000001</v>
      </c>
      <c r="E39" s="227"/>
      <c r="F39" s="71"/>
    </row>
    <row r="40" spans="2:6" ht="13.5" thickBot="1">
      <c r="B40" s="97" t="s">
        <v>35</v>
      </c>
      <c r="C40" s="98" t="s">
        <v>36</v>
      </c>
      <c r="D40" s="205">
        <v>-162785.01</v>
      </c>
      <c r="E40" s="232">
        <v>190226.88</v>
      </c>
    </row>
    <row r="41" spans="2:6" ht="13.5" thickBot="1">
      <c r="B41" s="99" t="s">
        <v>37</v>
      </c>
      <c r="C41" s="100" t="s">
        <v>38</v>
      </c>
      <c r="D41" s="206">
        <v>2341979.71</v>
      </c>
      <c r="E41" s="148">
        <f>E26+E27+E40</f>
        <v>2193806.56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237978.31299999999</v>
      </c>
      <c r="E47" s="149">
        <v>133067.02900000001</v>
      </c>
    </row>
    <row r="48" spans="2:6">
      <c r="B48" s="187" t="s">
        <v>6</v>
      </c>
      <c r="C48" s="188" t="s">
        <v>41</v>
      </c>
      <c r="D48" s="207">
        <v>133067.02900000001</v>
      </c>
      <c r="E48" s="149">
        <v>115039.673</v>
      </c>
    </row>
    <row r="49" spans="2:5">
      <c r="B49" s="120" t="s">
        <v>23</v>
      </c>
      <c r="C49" s="124" t="s">
        <v>113</v>
      </c>
      <c r="D49" s="208"/>
      <c r="E49" s="149"/>
    </row>
    <row r="50" spans="2:5">
      <c r="B50" s="185" t="s">
        <v>4</v>
      </c>
      <c r="C50" s="186" t="s">
        <v>40</v>
      </c>
      <c r="D50" s="207">
        <v>18.579999999999998</v>
      </c>
      <c r="E50" s="149">
        <v>17.600000000000001</v>
      </c>
    </row>
    <row r="51" spans="2:5">
      <c r="B51" s="185" t="s">
        <v>6</v>
      </c>
      <c r="C51" s="186" t="s">
        <v>114</v>
      </c>
      <c r="D51" s="207">
        <v>17.559999999999999</v>
      </c>
      <c r="E51" s="149">
        <v>17.580000000000002</v>
      </c>
    </row>
    <row r="52" spans="2:5">
      <c r="B52" s="185" t="s">
        <v>8</v>
      </c>
      <c r="C52" s="186" t="s">
        <v>115</v>
      </c>
      <c r="D52" s="207">
        <v>18.66</v>
      </c>
      <c r="E52" s="75">
        <v>19.079999999999998</v>
      </c>
    </row>
    <row r="53" spans="2:5" ht="12.75" customHeight="1" thickBot="1">
      <c r="B53" s="189" t="s">
        <v>9</v>
      </c>
      <c r="C53" s="190" t="s">
        <v>41</v>
      </c>
      <c r="D53" s="209">
        <v>17.600000000000001</v>
      </c>
      <c r="E53" s="233">
        <v>19.07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8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2193806.56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2193806.56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2193806.56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2193806.56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6">
    <pageSetUpPr fitToPage="1"/>
  </sheetPr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41"/>
      <c r="C4" s="141"/>
      <c r="D4" s="141"/>
      <c r="E4" s="141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257</v>
      </c>
      <c r="C6" s="359"/>
      <c r="D6" s="359"/>
      <c r="E6" s="359"/>
    </row>
    <row r="7" spans="2:7" ht="14.25">
      <c r="B7" s="139"/>
      <c r="C7" s="139"/>
      <c r="D7" s="139"/>
      <c r="E7" s="139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40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390879.69</v>
      </c>
      <c r="E11" s="244">
        <f>SUM(E12:E14)</f>
        <v>173324.38</v>
      </c>
    </row>
    <row r="12" spans="2:7">
      <c r="B12" s="174" t="s">
        <v>4</v>
      </c>
      <c r="C12" s="175" t="s">
        <v>5</v>
      </c>
      <c r="D12" s="283">
        <v>390879.69</v>
      </c>
      <c r="E12" s="304">
        <v>173324.38</v>
      </c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390879.69</v>
      </c>
      <c r="E21" s="148">
        <f>E11-E17</f>
        <v>173324.38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293037.65000000002</v>
      </c>
      <c r="E26" s="231">
        <f>D21</f>
        <v>390879.69</v>
      </c>
    </row>
    <row r="27" spans="2:6">
      <c r="B27" s="9" t="s">
        <v>17</v>
      </c>
      <c r="C27" s="10" t="s">
        <v>111</v>
      </c>
      <c r="D27" s="202">
        <v>91028.73000000001</v>
      </c>
      <c r="E27" s="224">
        <v>-223160.73</v>
      </c>
      <c r="F27" s="71"/>
    </row>
    <row r="28" spans="2:6">
      <c r="B28" s="9" t="s">
        <v>18</v>
      </c>
      <c r="C28" s="10" t="s">
        <v>19</v>
      </c>
      <c r="D28" s="202">
        <v>173407.66</v>
      </c>
      <c r="E28" s="225">
        <v>0</v>
      </c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>
        <v>173407.66</v>
      </c>
      <c r="E31" s="226"/>
      <c r="F31" s="71"/>
    </row>
    <row r="32" spans="2:6">
      <c r="B32" s="92" t="s">
        <v>23</v>
      </c>
      <c r="C32" s="11" t="s">
        <v>24</v>
      </c>
      <c r="D32" s="202">
        <v>82378.929999999993</v>
      </c>
      <c r="E32" s="225">
        <v>223160.73</v>
      </c>
      <c r="F32" s="71"/>
    </row>
    <row r="33" spans="2:6">
      <c r="B33" s="182" t="s">
        <v>4</v>
      </c>
      <c r="C33" s="175" t="s">
        <v>25</v>
      </c>
      <c r="D33" s="203">
        <v>74889.899999999994</v>
      </c>
      <c r="E33" s="226">
        <v>42466.17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1997.94</v>
      </c>
      <c r="E35" s="226">
        <v>1786.23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5491.09</v>
      </c>
      <c r="E37" s="226">
        <v>5086.82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/>
      <c r="E39" s="227">
        <v>173821.51</v>
      </c>
      <c r="F39" s="71"/>
    </row>
    <row r="40" spans="2:6" ht="13.5" thickBot="1">
      <c r="B40" s="97" t="s">
        <v>35</v>
      </c>
      <c r="C40" s="98" t="s">
        <v>36</v>
      </c>
      <c r="D40" s="205">
        <v>6813.31</v>
      </c>
      <c r="E40" s="232">
        <v>5605.42</v>
      </c>
    </row>
    <row r="41" spans="2:6" ht="13.5" thickBot="1">
      <c r="B41" s="99" t="s">
        <v>37</v>
      </c>
      <c r="C41" s="100" t="s">
        <v>38</v>
      </c>
      <c r="D41" s="206">
        <v>390879.69</v>
      </c>
      <c r="E41" s="148">
        <f>E26+E27+E40</f>
        <v>173324.38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23727.744999999999</v>
      </c>
      <c r="E47" s="149">
        <v>31096.236000000001</v>
      </c>
    </row>
    <row r="48" spans="2:6">
      <c r="B48" s="187" t="s">
        <v>6</v>
      </c>
      <c r="C48" s="188" t="s">
        <v>41</v>
      </c>
      <c r="D48" s="207">
        <v>31096.236000000001</v>
      </c>
      <c r="E48" s="149">
        <v>13572.778</v>
      </c>
    </row>
    <row r="49" spans="2:5">
      <c r="B49" s="120" t="s">
        <v>23</v>
      </c>
      <c r="C49" s="124" t="s">
        <v>113</v>
      </c>
      <c r="D49" s="208"/>
      <c r="E49" s="149"/>
    </row>
    <row r="50" spans="2:5">
      <c r="B50" s="185" t="s">
        <v>4</v>
      </c>
      <c r="C50" s="186" t="s">
        <v>40</v>
      </c>
      <c r="D50" s="207">
        <v>12.35</v>
      </c>
      <c r="E50" s="149">
        <v>12.57</v>
      </c>
    </row>
    <row r="51" spans="2:5">
      <c r="B51" s="185" t="s">
        <v>6</v>
      </c>
      <c r="C51" s="186" t="s">
        <v>114</v>
      </c>
      <c r="D51" s="207">
        <v>12.35</v>
      </c>
      <c r="E51" s="149">
        <v>12.56</v>
      </c>
    </row>
    <row r="52" spans="2:5">
      <c r="B52" s="185" t="s">
        <v>8</v>
      </c>
      <c r="C52" s="186" t="s">
        <v>115</v>
      </c>
      <c r="D52" s="207">
        <v>12.57</v>
      </c>
      <c r="E52" s="75">
        <v>12.77</v>
      </c>
    </row>
    <row r="53" spans="2:5" ht="13.5" customHeight="1" thickBot="1">
      <c r="B53" s="189" t="s">
        <v>9</v>
      </c>
      <c r="C53" s="190" t="s">
        <v>41</v>
      </c>
      <c r="D53" s="209">
        <v>12.57</v>
      </c>
      <c r="E53" s="233">
        <v>12.77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7.2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173324.38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173324.38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173324.38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173324.38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7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41"/>
      <c r="C4" s="141"/>
      <c r="D4" s="141"/>
      <c r="E4" s="141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204</v>
      </c>
      <c r="C6" s="359"/>
      <c r="D6" s="359"/>
      <c r="E6" s="359"/>
    </row>
    <row r="7" spans="2:7" ht="14.25">
      <c r="B7" s="139"/>
      <c r="C7" s="139"/>
      <c r="D7" s="139"/>
      <c r="E7" s="139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40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772365.77</v>
      </c>
      <c r="E11" s="244">
        <f>SUM(E12:E14)</f>
        <v>871158.36</v>
      </c>
    </row>
    <row r="12" spans="2:7">
      <c r="B12" s="174" t="s">
        <v>4</v>
      </c>
      <c r="C12" s="175" t="s">
        <v>5</v>
      </c>
      <c r="D12" s="283">
        <v>772365.77</v>
      </c>
      <c r="E12" s="304">
        <v>871158.36</v>
      </c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772365.77</v>
      </c>
      <c r="E21" s="148">
        <f>E11-E17</f>
        <v>871158.36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868336.04</v>
      </c>
      <c r="E26" s="231">
        <f>D21</f>
        <v>772365.77</v>
      </c>
    </row>
    <row r="27" spans="2:6">
      <c r="B27" s="9" t="s">
        <v>17</v>
      </c>
      <c r="C27" s="10" t="s">
        <v>111</v>
      </c>
      <c r="D27" s="202">
        <v>-13578.929999999998</v>
      </c>
      <c r="E27" s="224">
        <v>-13943.2</v>
      </c>
      <c r="F27" s="71"/>
    </row>
    <row r="28" spans="2:6">
      <c r="B28" s="9" t="s">
        <v>18</v>
      </c>
      <c r="C28" s="10" t="s">
        <v>19</v>
      </c>
      <c r="D28" s="202">
        <v>0</v>
      </c>
      <c r="E28" s="225">
        <v>0</v>
      </c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/>
      <c r="E31" s="226"/>
      <c r="F31" s="71"/>
    </row>
    <row r="32" spans="2:6">
      <c r="B32" s="92" t="s">
        <v>23</v>
      </c>
      <c r="C32" s="11" t="s">
        <v>24</v>
      </c>
      <c r="D32" s="202">
        <v>13578.929999999998</v>
      </c>
      <c r="E32" s="225">
        <v>13943.2</v>
      </c>
      <c r="F32" s="71"/>
    </row>
    <row r="33" spans="2:6">
      <c r="B33" s="182" t="s">
        <v>4</v>
      </c>
      <c r="C33" s="175" t="s">
        <v>25</v>
      </c>
      <c r="D33" s="203"/>
      <c r="E33" s="226">
        <v>374.8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153.22</v>
      </c>
      <c r="E35" s="226">
        <v>140.06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13425.71</v>
      </c>
      <c r="E37" s="226">
        <v>13428.34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/>
      <c r="E39" s="227"/>
      <c r="F39" s="71"/>
    </row>
    <row r="40" spans="2:6" ht="13.5" thickBot="1">
      <c r="B40" s="97" t="s">
        <v>35</v>
      </c>
      <c r="C40" s="98" t="s">
        <v>36</v>
      </c>
      <c r="D40" s="205">
        <v>-82391.34</v>
      </c>
      <c r="E40" s="232">
        <v>112735.79</v>
      </c>
    </row>
    <row r="41" spans="2:6" ht="13.5" thickBot="1">
      <c r="B41" s="99" t="s">
        <v>37</v>
      </c>
      <c r="C41" s="100" t="s">
        <v>38</v>
      </c>
      <c r="D41" s="206">
        <v>772365.77</v>
      </c>
      <c r="E41" s="148">
        <f>E26+E27+E40</f>
        <v>871158.3600000001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72482.14</v>
      </c>
      <c r="E47" s="149">
        <v>71317.245999999999</v>
      </c>
    </row>
    <row r="48" spans="2:6">
      <c r="B48" s="187" t="s">
        <v>6</v>
      </c>
      <c r="C48" s="188" t="s">
        <v>41</v>
      </c>
      <c r="D48" s="207">
        <v>71317.245999999999</v>
      </c>
      <c r="E48" s="149">
        <v>70141.574999999997</v>
      </c>
    </row>
    <row r="49" spans="2:5">
      <c r="B49" s="120" t="s">
        <v>23</v>
      </c>
      <c r="C49" s="124" t="s">
        <v>113</v>
      </c>
      <c r="D49" s="208"/>
      <c r="E49" s="149"/>
    </row>
    <row r="50" spans="2:5">
      <c r="B50" s="185" t="s">
        <v>4</v>
      </c>
      <c r="C50" s="186" t="s">
        <v>40</v>
      </c>
      <c r="D50" s="207">
        <v>11.98</v>
      </c>
      <c r="E50" s="149">
        <v>10.83</v>
      </c>
    </row>
    <row r="51" spans="2:5">
      <c r="B51" s="185" t="s">
        <v>6</v>
      </c>
      <c r="C51" s="186" t="s">
        <v>114</v>
      </c>
      <c r="D51" s="207">
        <v>10.76</v>
      </c>
      <c r="E51" s="149">
        <v>10.83</v>
      </c>
    </row>
    <row r="52" spans="2:5">
      <c r="B52" s="185" t="s">
        <v>8</v>
      </c>
      <c r="C52" s="186" t="s">
        <v>115</v>
      </c>
      <c r="D52" s="207">
        <v>12.2</v>
      </c>
      <c r="E52" s="75">
        <v>12.46</v>
      </c>
    </row>
    <row r="53" spans="2:5" ht="13.5" customHeight="1" thickBot="1">
      <c r="B53" s="189" t="s">
        <v>9</v>
      </c>
      <c r="C53" s="190" t="s">
        <v>41</v>
      </c>
      <c r="D53" s="209">
        <v>10.83</v>
      </c>
      <c r="E53" s="233">
        <v>12.42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6.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871158.36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871158.36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871158.36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871158.36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8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41"/>
      <c r="C4" s="141"/>
      <c r="D4" s="141"/>
      <c r="E4" s="141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205</v>
      </c>
      <c r="C6" s="359"/>
      <c r="D6" s="359"/>
      <c r="E6" s="359"/>
    </row>
    <row r="7" spans="2:7" ht="14.25">
      <c r="B7" s="139"/>
      <c r="C7" s="139"/>
      <c r="D7" s="139"/>
      <c r="E7" s="139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40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44887.59</v>
      </c>
      <c r="E11" s="244">
        <f>SUM(E12:E14)</f>
        <v>42568.53</v>
      </c>
    </row>
    <row r="12" spans="2:7">
      <c r="B12" s="174" t="s">
        <v>4</v>
      </c>
      <c r="C12" s="175" t="s">
        <v>5</v>
      </c>
      <c r="D12" s="283">
        <v>44887.59</v>
      </c>
      <c r="E12" s="304">
        <v>42568.53</v>
      </c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44887.59</v>
      </c>
      <c r="E21" s="148">
        <f>E11-E17</f>
        <v>42568.53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64398.2</v>
      </c>
      <c r="E26" s="231">
        <f>D21</f>
        <v>44887.59</v>
      </c>
    </row>
    <row r="27" spans="2:6">
      <c r="B27" s="9" t="s">
        <v>17</v>
      </c>
      <c r="C27" s="10" t="s">
        <v>111</v>
      </c>
      <c r="D27" s="202">
        <v>-12600.239999999998</v>
      </c>
      <c r="E27" s="224">
        <v>-5636.22</v>
      </c>
      <c r="F27" s="71"/>
    </row>
    <row r="28" spans="2:6">
      <c r="B28" s="9" t="s">
        <v>18</v>
      </c>
      <c r="C28" s="10" t="s">
        <v>19</v>
      </c>
      <c r="D28" s="202">
        <v>24453.9</v>
      </c>
      <c r="E28" s="225">
        <v>3218.47</v>
      </c>
      <c r="F28" s="71"/>
    </row>
    <row r="29" spans="2:6">
      <c r="B29" s="182" t="s">
        <v>4</v>
      </c>
      <c r="C29" s="175" t="s">
        <v>20</v>
      </c>
      <c r="D29" s="203">
        <v>3726</v>
      </c>
      <c r="E29" s="226">
        <v>3218.47</v>
      </c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>
        <v>20727.900000000001</v>
      </c>
      <c r="E31" s="226"/>
      <c r="F31" s="71"/>
    </row>
    <row r="32" spans="2:6">
      <c r="B32" s="92" t="s">
        <v>23</v>
      </c>
      <c r="C32" s="11" t="s">
        <v>24</v>
      </c>
      <c r="D32" s="202">
        <v>37054.14</v>
      </c>
      <c r="E32" s="225">
        <v>8854.69</v>
      </c>
      <c r="F32" s="71"/>
    </row>
    <row r="33" spans="2:6">
      <c r="B33" s="182" t="s">
        <v>4</v>
      </c>
      <c r="C33" s="175" t="s">
        <v>25</v>
      </c>
      <c r="D33" s="203">
        <v>15732.03</v>
      </c>
      <c r="E33" s="226">
        <v>4585.74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664.23</v>
      </c>
      <c r="E35" s="226">
        <v>594.07000000000005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754.57</v>
      </c>
      <c r="E37" s="226">
        <v>533.32000000000005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>
        <v>19903.310000000001</v>
      </c>
      <c r="E39" s="227">
        <v>3141.56</v>
      </c>
      <c r="F39" s="71"/>
    </row>
    <row r="40" spans="2:6" ht="13.5" thickBot="1">
      <c r="B40" s="97" t="s">
        <v>35</v>
      </c>
      <c r="C40" s="98" t="s">
        <v>36</v>
      </c>
      <c r="D40" s="205">
        <v>-6910.37</v>
      </c>
      <c r="E40" s="232">
        <v>3317.16</v>
      </c>
    </row>
    <row r="41" spans="2:6" ht="13.5" thickBot="1">
      <c r="B41" s="99" t="s">
        <v>37</v>
      </c>
      <c r="C41" s="100" t="s">
        <v>38</v>
      </c>
      <c r="D41" s="206">
        <v>44887.59</v>
      </c>
      <c r="E41" s="148">
        <f>E26+E27+E40</f>
        <v>42568.53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10859.73</v>
      </c>
      <c r="E47" s="149">
        <v>8599.1550000000007</v>
      </c>
    </row>
    <row r="48" spans="2:6">
      <c r="B48" s="187" t="s">
        <v>6</v>
      </c>
      <c r="C48" s="188" t="s">
        <v>41</v>
      </c>
      <c r="D48" s="207">
        <v>8599.1550000000007</v>
      </c>
      <c r="E48" s="149">
        <v>7561.0169999999998</v>
      </c>
    </row>
    <row r="49" spans="2:5">
      <c r="B49" s="120" t="s">
        <v>23</v>
      </c>
      <c r="C49" s="124" t="s">
        <v>113</v>
      </c>
      <c r="D49" s="208"/>
      <c r="E49" s="149"/>
    </row>
    <row r="50" spans="2:5">
      <c r="B50" s="185" t="s">
        <v>4</v>
      </c>
      <c r="C50" s="186" t="s">
        <v>40</v>
      </c>
      <c r="D50" s="207">
        <v>5.93</v>
      </c>
      <c r="E50" s="149">
        <v>5.22</v>
      </c>
    </row>
    <row r="51" spans="2:5">
      <c r="B51" s="185" t="s">
        <v>6</v>
      </c>
      <c r="C51" s="186" t="s">
        <v>114</v>
      </c>
      <c r="D51" s="207">
        <v>5.22</v>
      </c>
      <c r="E51" s="149">
        <v>5.2</v>
      </c>
    </row>
    <row r="52" spans="2:5">
      <c r="B52" s="185" t="s">
        <v>8</v>
      </c>
      <c r="C52" s="186" t="s">
        <v>115</v>
      </c>
      <c r="D52" s="207">
        <v>6.1</v>
      </c>
      <c r="E52" s="149">
        <v>5.67</v>
      </c>
    </row>
    <row r="53" spans="2:5" ht="13.5" customHeight="1" thickBot="1">
      <c r="B53" s="189" t="s">
        <v>9</v>
      </c>
      <c r="C53" s="190" t="s">
        <v>41</v>
      </c>
      <c r="D53" s="209">
        <v>5.22</v>
      </c>
      <c r="E53" s="233">
        <v>5.63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6.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42568.53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42568.53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42568.53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42568.53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G81"/>
  <sheetViews>
    <sheetView zoomScale="80" zoomScaleNormal="80" workbookViewId="0">
      <selection activeCell="I24" sqref="I2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47"/>
      <c r="C4" s="147"/>
      <c r="D4" s="147"/>
      <c r="E4" s="147"/>
    </row>
    <row r="5" spans="2:7" ht="21" customHeight="1">
      <c r="B5" s="358" t="s">
        <v>1</v>
      </c>
      <c r="C5" s="358"/>
      <c r="D5" s="358"/>
      <c r="E5" s="358"/>
    </row>
    <row r="6" spans="2:7" ht="14.25" customHeight="1">
      <c r="B6" s="359" t="s">
        <v>101</v>
      </c>
      <c r="C6" s="359"/>
      <c r="D6" s="359"/>
      <c r="E6" s="359"/>
    </row>
    <row r="7" spans="2:7" ht="14.25">
      <c r="B7" s="324"/>
      <c r="C7" s="324"/>
      <c r="D7" s="324"/>
      <c r="E7" s="324"/>
    </row>
    <row r="8" spans="2:7" ht="13.5" customHeight="1">
      <c r="B8" s="361" t="s">
        <v>18</v>
      </c>
      <c r="C8" s="363"/>
      <c r="D8" s="363"/>
      <c r="E8" s="363"/>
    </row>
    <row r="9" spans="2:7" ht="16.5" customHeight="1" thickBot="1">
      <c r="B9" s="360" t="s">
        <v>103</v>
      </c>
      <c r="C9" s="360"/>
      <c r="D9" s="360"/>
      <c r="E9" s="360"/>
    </row>
    <row r="10" spans="2:7" ht="13.5" thickBot="1">
      <c r="B10" s="325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473581.32</v>
      </c>
      <c r="E11" s="244">
        <f>SUM(E12:E14)</f>
        <v>622947.14</v>
      </c>
    </row>
    <row r="12" spans="2:7">
      <c r="B12" s="106" t="s">
        <v>4</v>
      </c>
      <c r="C12" s="6" t="s">
        <v>5</v>
      </c>
      <c r="D12" s="283">
        <v>471668.53</v>
      </c>
      <c r="E12" s="304">
        <f>586022.61+35368.94</f>
        <v>621391.55000000005</v>
      </c>
    </row>
    <row r="13" spans="2:7">
      <c r="B13" s="106" t="s">
        <v>6</v>
      </c>
      <c r="C13" s="68" t="s">
        <v>7</v>
      </c>
      <c r="D13" s="276"/>
      <c r="E13" s="305"/>
    </row>
    <row r="14" spans="2:7">
      <c r="B14" s="106" t="s">
        <v>8</v>
      </c>
      <c r="C14" s="68" t="s">
        <v>10</v>
      </c>
      <c r="D14" s="276">
        <v>1912.79</v>
      </c>
      <c r="E14" s="305">
        <f>E15</f>
        <v>1555.59</v>
      </c>
    </row>
    <row r="15" spans="2:7">
      <c r="B15" s="106" t="s">
        <v>106</v>
      </c>
      <c r="C15" s="68" t="s">
        <v>11</v>
      </c>
      <c r="D15" s="276">
        <v>1912.79</v>
      </c>
      <c r="E15" s="305">
        <v>1555.59</v>
      </c>
    </row>
    <row r="16" spans="2:7">
      <c r="B16" s="107" t="s">
        <v>107</v>
      </c>
      <c r="C16" s="91" t="s">
        <v>12</v>
      </c>
      <c r="D16" s="278"/>
      <c r="E16" s="306"/>
    </row>
    <row r="17" spans="2:6">
      <c r="B17" s="9" t="s">
        <v>13</v>
      </c>
      <c r="C17" s="11" t="s">
        <v>65</v>
      </c>
      <c r="D17" s="279">
        <v>712.76</v>
      </c>
      <c r="E17" s="307">
        <f>E18</f>
        <v>1131.44</v>
      </c>
    </row>
    <row r="18" spans="2:6">
      <c r="B18" s="106" t="s">
        <v>4</v>
      </c>
      <c r="C18" s="6" t="s">
        <v>11</v>
      </c>
      <c r="D18" s="278">
        <v>712.76</v>
      </c>
      <c r="E18" s="306">
        <v>1131.44</v>
      </c>
    </row>
    <row r="19" spans="2:6" ht="15" customHeight="1">
      <c r="B19" s="106" t="s">
        <v>6</v>
      </c>
      <c r="C19" s="68" t="s">
        <v>108</v>
      </c>
      <c r="D19" s="276"/>
      <c r="E19" s="305"/>
    </row>
    <row r="20" spans="2:6" ht="13.5" thickBot="1">
      <c r="B20" s="108" t="s">
        <v>8</v>
      </c>
      <c r="C20" s="69" t="s">
        <v>14</v>
      </c>
      <c r="D20" s="245"/>
      <c r="E20" s="246"/>
    </row>
    <row r="21" spans="2:6" ht="13.5" customHeight="1" thickBot="1">
      <c r="B21" s="367" t="s">
        <v>110</v>
      </c>
      <c r="C21" s="368"/>
      <c r="D21" s="247">
        <v>472868.56</v>
      </c>
      <c r="E21" s="148">
        <f>E11-E17</f>
        <v>621815.70000000007</v>
      </c>
      <c r="F21" s="77"/>
    </row>
    <row r="22" spans="2:6">
      <c r="B22" s="3"/>
      <c r="C22" s="7"/>
      <c r="D22" s="8"/>
      <c r="E22" s="8"/>
    </row>
    <row r="23" spans="2:6" ht="13.5" customHeight="1">
      <c r="B23" s="361" t="s">
        <v>104</v>
      </c>
      <c r="C23" s="369"/>
      <c r="D23" s="369"/>
      <c r="E23" s="369"/>
    </row>
    <row r="24" spans="2:6" ht="18" customHeight="1" thickBot="1">
      <c r="B24" s="360" t="s">
        <v>105</v>
      </c>
      <c r="C24" s="370"/>
      <c r="D24" s="370"/>
      <c r="E24" s="370"/>
    </row>
    <row r="25" spans="2:6" ht="13.5" thickBot="1">
      <c r="B25" s="325"/>
      <c r="C25" s="5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498894.81</v>
      </c>
      <c r="E26" s="231">
        <f>D21</f>
        <v>472868.56</v>
      </c>
    </row>
    <row r="27" spans="2:6">
      <c r="B27" s="9" t="s">
        <v>17</v>
      </c>
      <c r="C27" s="10" t="s">
        <v>111</v>
      </c>
      <c r="D27" s="202">
        <v>46275.179999999978</v>
      </c>
      <c r="E27" s="224">
        <f>E28-E32</f>
        <v>56859.800000000017</v>
      </c>
      <c r="F27" s="71"/>
    </row>
    <row r="28" spans="2:6">
      <c r="B28" s="9" t="s">
        <v>18</v>
      </c>
      <c r="C28" s="10" t="s">
        <v>19</v>
      </c>
      <c r="D28" s="202">
        <v>162344.50999999998</v>
      </c>
      <c r="E28" s="225">
        <v>242677.63</v>
      </c>
      <c r="F28" s="71"/>
    </row>
    <row r="29" spans="2:6">
      <c r="B29" s="104" t="s">
        <v>4</v>
      </c>
      <c r="C29" s="6" t="s">
        <v>20</v>
      </c>
      <c r="D29" s="203">
        <v>145421.26999999999</v>
      </c>
      <c r="E29" s="226">
        <v>142230.46</v>
      </c>
      <c r="F29" s="71"/>
    </row>
    <row r="30" spans="2:6">
      <c r="B30" s="104" t="s">
        <v>6</v>
      </c>
      <c r="C30" s="6" t="s">
        <v>21</v>
      </c>
      <c r="D30" s="203"/>
      <c r="E30" s="226"/>
      <c r="F30" s="71"/>
    </row>
    <row r="31" spans="2:6">
      <c r="B31" s="104" t="s">
        <v>8</v>
      </c>
      <c r="C31" s="6" t="s">
        <v>22</v>
      </c>
      <c r="D31" s="203">
        <v>16923.240000000002</v>
      </c>
      <c r="E31" s="226">
        <v>100447.17</v>
      </c>
      <c r="F31" s="71"/>
    </row>
    <row r="32" spans="2:6">
      <c r="B32" s="92" t="s">
        <v>23</v>
      </c>
      <c r="C32" s="11" t="s">
        <v>24</v>
      </c>
      <c r="D32" s="202">
        <v>116069.33</v>
      </c>
      <c r="E32" s="225">
        <v>185817.83</v>
      </c>
      <c r="F32" s="71"/>
    </row>
    <row r="33" spans="2:6">
      <c r="B33" s="104" t="s">
        <v>4</v>
      </c>
      <c r="C33" s="6" t="s">
        <v>25</v>
      </c>
      <c r="D33" s="203">
        <v>80658.320000000007</v>
      </c>
      <c r="E33" s="226">
        <v>56193.34</v>
      </c>
      <c r="F33" s="71"/>
    </row>
    <row r="34" spans="2:6">
      <c r="B34" s="104" t="s">
        <v>6</v>
      </c>
      <c r="C34" s="6" t="s">
        <v>26</v>
      </c>
      <c r="D34" s="203"/>
      <c r="E34" s="226"/>
      <c r="F34" s="71"/>
    </row>
    <row r="35" spans="2:6">
      <c r="B35" s="104" t="s">
        <v>8</v>
      </c>
      <c r="C35" s="6" t="s">
        <v>27</v>
      </c>
      <c r="D35" s="203">
        <v>14182.09</v>
      </c>
      <c r="E35" s="226">
        <v>13734.01</v>
      </c>
      <c r="F35" s="71"/>
    </row>
    <row r="36" spans="2:6">
      <c r="B36" s="104" t="s">
        <v>9</v>
      </c>
      <c r="C36" s="6" t="s">
        <v>28</v>
      </c>
      <c r="D36" s="203"/>
      <c r="E36" s="226"/>
      <c r="F36" s="71"/>
    </row>
    <row r="37" spans="2:6" ht="25.5">
      <c r="B37" s="104" t="s">
        <v>29</v>
      </c>
      <c r="C37" s="6" t="s">
        <v>30</v>
      </c>
      <c r="D37" s="203"/>
      <c r="E37" s="226"/>
      <c r="F37" s="71"/>
    </row>
    <row r="38" spans="2:6">
      <c r="B38" s="104" t="s">
        <v>31</v>
      </c>
      <c r="C38" s="6" t="s">
        <v>32</v>
      </c>
      <c r="D38" s="203"/>
      <c r="E38" s="226"/>
      <c r="F38" s="71"/>
    </row>
    <row r="39" spans="2:6">
      <c r="B39" s="105" t="s">
        <v>33</v>
      </c>
      <c r="C39" s="12" t="s">
        <v>34</v>
      </c>
      <c r="D39" s="204">
        <v>21228.92</v>
      </c>
      <c r="E39" s="227">
        <v>115890.47999999991</v>
      </c>
      <c r="F39" s="71"/>
    </row>
    <row r="40" spans="2:6" ht="13.5" thickBot="1">
      <c r="B40" s="97" t="s">
        <v>35</v>
      </c>
      <c r="C40" s="98" t="s">
        <v>36</v>
      </c>
      <c r="D40" s="205">
        <v>-72301.429999999993</v>
      </c>
      <c r="E40" s="232">
        <v>92087.34</v>
      </c>
    </row>
    <row r="41" spans="2:6" ht="13.5" thickBot="1">
      <c r="B41" s="99" t="s">
        <v>37</v>
      </c>
      <c r="C41" s="100" t="s">
        <v>38</v>
      </c>
      <c r="D41" s="206">
        <v>472868.56</v>
      </c>
      <c r="E41" s="148">
        <f>E26+E27+E40</f>
        <v>621815.69999999995</v>
      </c>
      <c r="F41" s="77"/>
    </row>
    <row r="42" spans="2:6">
      <c r="B42" s="93"/>
      <c r="C42" s="93"/>
      <c r="D42" s="94"/>
      <c r="E42" s="94"/>
      <c r="F42" s="77"/>
    </row>
    <row r="43" spans="2:6" ht="13.5" customHeight="1">
      <c r="B43" s="362" t="s">
        <v>60</v>
      </c>
      <c r="C43" s="363"/>
      <c r="D43" s="363"/>
      <c r="E43" s="363"/>
    </row>
    <row r="44" spans="2:6" ht="17.25" customHeight="1" thickBot="1">
      <c r="B44" s="360" t="s">
        <v>121</v>
      </c>
      <c r="C44" s="364"/>
      <c r="D44" s="364"/>
      <c r="E44" s="364"/>
    </row>
    <row r="45" spans="2:6" ht="13.5" thickBot="1">
      <c r="B45" s="325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7">
        <v>42123.054300000003</v>
      </c>
      <c r="E47" s="73">
        <v>46187.157399999996</v>
      </c>
    </row>
    <row r="48" spans="2:6">
      <c r="B48" s="123" t="s">
        <v>6</v>
      </c>
      <c r="C48" s="22" t="s">
        <v>41</v>
      </c>
      <c r="D48" s="207">
        <v>46187.157399999996</v>
      </c>
      <c r="E48" s="272">
        <v>51026.936900000001</v>
      </c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02" t="s">
        <v>4</v>
      </c>
      <c r="C50" s="15" t="s">
        <v>40</v>
      </c>
      <c r="D50" s="207">
        <v>11.8437472849636</v>
      </c>
      <c r="E50" s="73">
        <v>10.238096185586</v>
      </c>
    </row>
    <row r="51" spans="2:5">
      <c r="B51" s="102" t="s">
        <v>6</v>
      </c>
      <c r="C51" s="15" t="s">
        <v>114</v>
      </c>
      <c r="D51" s="207">
        <v>10.1144</v>
      </c>
      <c r="E51" s="75">
        <v>10.175700000000001</v>
      </c>
    </row>
    <row r="52" spans="2:5" ht="12.75" customHeight="1">
      <c r="B52" s="102" t="s">
        <v>8</v>
      </c>
      <c r="C52" s="15" t="s">
        <v>115</v>
      </c>
      <c r="D52" s="207">
        <v>12.358499999999999</v>
      </c>
      <c r="E52" s="75">
        <v>12.199299999999999</v>
      </c>
    </row>
    <row r="53" spans="2:5" ht="13.5" thickBot="1">
      <c r="B53" s="103" t="s">
        <v>9</v>
      </c>
      <c r="C53" s="17" t="s">
        <v>41</v>
      </c>
      <c r="D53" s="209">
        <v>10.238096185586</v>
      </c>
      <c r="E53" s="233">
        <v>12.186</v>
      </c>
    </row>
    <row r="54" spans="2:5">
      <c r="B54" s="109"/>
      <c r="C54" s="110"/>
      <c r="D54" s="111"/>
      <c r="E54" s="111"/>
    </row>
    <row r="55" spans="2:5" ht="13.5" customHeight="1">
      <c r="B55" s="362" t="s">
        <v>62</v>
      </c>
      <c r="C55" s="363"/>
      <c r="D55" s="363"/>
      <c r="E55" s="363"/>
    </row>
    <row r="56" spans="2:5" ht="15.75" customHeight="1" thickBot="1">
      <c r="B56" s="360" t="s">
        <v>116</v>
      </c>
      <c r="C56" s="364"/>
      <c r="D56" s="364"/>
      <c r="E56" s="364"/>
    </row>
    <row r="57" spans="2:5" ht="23.25" customHeight="1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SUM(D59:D70)</f>
        <v>621391.55000000005</v>
      </c>
      <c r="E58" s="31">
        <f>D58/E21</f>
        <v>0.99931788470442284</v>
      </c>
    </row>
    <row r="59" spans="2:5" ht="25.5">
      <c r="B59" s="21" t="s">
        <v>4</v>
      </c>
      <c r="C59" s="22" t="s">
        <v>44</v>
      </c>
      <c r="D59" s="80">
        <v>0</v>
      </c>
      <c r="E59" s="81">
        <v>0</v>
      </c>
    </row>
    <row r="60" spans="2:5" ht="24" customHeight="1">
      <c r="B60" s="14" t="s">
        <v>6</v>
      </c>
      <c r="C60" s="15" t="s">
        <v>45</v>
      </c>
      <c r="D60" s="78">
        <v>0</v>
      </c>
      <c r="E60" s="79">
        <v>0</v>
      </c>
    </row>
    <row r="61" spans="2:5">
      <c r="B61" s="14" t="s">
        <v>8</v>
      </c>
      <c r="C61" s="15" t="s">
        <v>46</v>
      </c>
      <c r="D61" s="78">
        <v>0</v>
      </c>
      <c r="E61" s="79">
        <v>0</v>
      </c>
    </row>
    <row r="62" spans="2:5">
      <c r="B62" s="14" t="s">
        <v>9</v>
      </c>
      <c r="C62" s="15" t="s">
        <v>47</v>
      </c>
      <c r="D62" s="78">
        <v>0</v>
      </c>
      <c r="E62" s="79">
        <v>0</v>
      </c>
    </row>
    <row r="63" spans="2:5">
      <c r="B63" s="14" t="s">
        <v>29</v>
      </c>
      <c r="C63" s="15" t="s">
        <v>48</v>
      </c>
      <c r="D63" s="78">
        <v>0</v>
      </c>
      <c r="E63" s="79">
        <v>0</v>
      </c>
    </row>
    <row r="64" spans="2:5">
      <c r="B64" s="21" t="s">
        <v>31</v>
      </c>
      <c r="C64" s="22" t="s">
        <v>49</v>
      </c>
      <c r="D64" s="269">
        <v>586022.61</v>
      </c>
      <c r="E64" s="81">
        <f>D64/E21</f>
        <v>0.94243778341396001</v>
      </c>
    </row>
    <row r="65" spans="2:5">
      <c r="B65" s="21" t="s">
        <v>33</v>
      </c>
      <c r="C65" s="22" t="s">
        <v>118</v>
      </c>
      <c r="D65" s="80">
        <v>0</v>
      </c>
      <c r="E65" s="81">
        <v>0</v>
      </c>
    </row>
    <row r="66" spans="2:5">
      <c r="B66" s="21" t="s">
        <v>50</v>
      </c>
      <c r="C66" s="22" t="s">
        <v>51</v>
      </c>
      <c r="D66" s="80">
        <v>0</v>
      </c>
      <c r="E66" s="81">
        <v>0</v>
      </c>
    </row>
    <row r="67" spans="2:5">
      <c r="B67" s="14" t="s">
        <v>52</v>
      </c>
      <c r="C67" s="15" t="s">
        <v>53</v>
      </c>
      <c r="D67" s="78">
        <v>0</v>
      </c>
      <c r="E67" s="79">
        <v>0</v>
      </c>
    </row>
    <row r="68" spans="2:5">
      <c r="B68" s="14" t="s">
        <v>54</v>
      </c>
      <c r="C68" s="15" t="s">
        <v>55</v>
      </c>
      <c r="D68" s="78">
        <v>0</v>
      </c>
      <c r="E68" s="79">
        <v>0</v>
      </c>
    </row>
    <row r="69" spans="2:5">
      <c r="B69" s="14" t="s">
        <v>56</v>
      </c>
      <c r="C69" s="15" t="s">
        <v>57</v>
      </c>
      <c r="D69" s="286">
        <v>35368.94</v>
      </c>
      <c r="E69" s="79">
        <f>D69/E21</f>
        <v>5.6880101290462753E-2</v>
      </c>
    </row>
    <row r="70" spans="2:5">
      <c r="B70" s="112" t="s">
        <v>58</v>
      </c>
      <c r="C70" s="113" t="s">
        <v>59</v>
      </c>
      <c r="D70" s="114">
        <v>0</v>
      </c>
      <c r="E70" s="115">
        <v>0</v>
      </c>
    </row>
    <row r="71" spans="2:5">
      <c r="B71" s="120" t="s">
        <v>23</v>
      </c>
      <c r="C71" s="121" t="s">
        <v>61</v>
      </c>
      <c r="D71" s="122">
        <f>E13</f>
        <v>0</v>
      </c>
      <c r="E71" s="66">
        <v>0</v>
      </c>
    </row>
    <row r="72" spans="2:5">
      <c r="B72" s="116" t="s">
        <v>60</v>
      </c>
      <c r="C72" s="117" t="s">
        <v>63</v>
      </c>
      <c r="D72" s="118">
        <f>E14</f>
        <v>1555.59</v>
      </c>
      <c r="E72" s="119">
        <f>D72/E21</f>
        <v>2.501689809375993E-3</v>
      </c>
    </row>
    <row r="73" spans="2:5">
      <c r="B73" s="23" t="s">
        <v>62</v>
      </c>
      <c r="C73" s="24" t="s">
        <v>65</v>
      </c>
      <c r="D73" s="25">
        <f>E17</f>
        <v>1131.44</v>
      </c>
      <c r="E73" s="26">
        <f>D73/E21</f>
        <v>1.8195745137988635E-3</v>
      </c>
    </row>
    <row r="74" spans="2:5">
      <c r="B74" s="120" t="s">
        <v>64</v>
      </c>
      <c r="C74" s="121" t="s">
        <v>66</v>
      </c>
      <c r="D74" s="122">
        <f>D58+D71+D72-D73</f>
        <v>621815.70000000007</v>
      </c>
      <c r="E74" s="66">
        <f>E58+E72-E73</f>
        <v>0.99999999999999989</v>
      </c>
    </row>
    <row r="75" spans="2:5">
      <c r="B75" s="14" t="s">
        <v>4</v>
      </c>
      <c r="C75" s="15" t="s">
        <v>67</v>
      </c>
      <c r="D75" s="78">
        <f>D74</f>
        <v>621815.70000000007</v>
      </c>
      <c r="E75" s="79">
        <f>E74</f>
        <v>0.99999999999999989</v>
      </c>
    </row>
    <row r="76" spans="2:5">
      <c r="B76" s="14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6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2" right="0.75" top="0.6" bottom="0.4" header="0.5" footer="0.5"/>
  <pageSetup paperSize="9" scale="70" orientation="portrait" r:id="rId1"/>
  <headerFooter alignWithMargins="0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9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41"/>
      <c r="C4" s="141"/>
      <c r="D4" s="141"/>
      <c r="E4" s="141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206</v>
      </c>
      <c r="C6" s="359"/>
      <c r="D6" s="359"/>
      <c r="E6" s="359"/>
    </row>
    <row r="7" spans="2:7" ht="14.25">
      <c r="B7" s="139"/>
      <c r="C7" s="139"/>
      <c r="D7" s="139"/>
      <c r="E7" s="139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40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79.06</v>
      </c>
      <c r="E11" s="244">
        <f>SUM(E12:E14)</f>
        <v>86.29</v>
      </c>
    </row>
    <row r="12" spans="2:7">
      <c r="B12" s="174" t="s">
        <v>4</v>
      </c>
      <c r="C12" s="175" t="s">
        <v>5</v>
      </c>
      <c r="D12" s="283">
        <v>79.06</v>
      </c>
      <c r="E12" s="304">
        <v>86.29</v>
      </c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79.06</v>
      </c>
      <c r="E21" s="148">
        <f>E11-E17</f>
        <v>86.29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1659.15</v>
      </c>
      <c r="E26" s="231">
        <f>D21</f>
        <v>79.06</v>
      </c>
    </row>
    <row r="27" spans="2:6">
      <c r="B27" s="9" t="s">
        <v>17</v>
      </c>
      <c r="C27" s="10" t="s">
        <v>111</v>
      </c>
      <c r="D27" s="202">
        <v>-1402.43</v>
      </c>
      <c r="E27" s="224">
        <v>5.3599999999999994</v>
      </c>
      <c r="F27" s="71"/>
    </row>
    <row r="28" spans="2:6">
      <c r="B28" s="9" t="s">
        <v>18</v>
      </c>
      <c r="C28" s="10" t="s">
        <v>19</v>
      </c>
      <c r="D28" s="202">
        <v>116.06</v>
      </c>
      <c r="E28" s="225">
        <v>79.64</v>
      </c>
      <c r="F28" s="71"/>
    </row>
    <row r="29" spans="2:6">
      <c r="B29" s="182" t="s">
        <v>4</v>
      </c>
      <c r="C29" s="175" t="s">
        <v>20</v>
      </c>
      <c r="D29" s="203">
        <v>116.06</v>
      </c>
      <c r="E29" s="226">
        <v>79.64</v>
      </c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/>
      <c r="E31" s="226"/>
      <c r="F31" s="71"/>
    </row>
    <row r="32" spans="2:6">
      <c r="B32" s="92" t="s">
        <v>23</v>
      </c>
      <c r="C32" s="11" t="s">
        <v>24</v>
      </c>
      <c r="D32" s="202">
        <v>1518.49</v>
      </c>
      <c r="E32" s="225">
        <v>74.28</v>
      </c>
      <c r="F32" s="71"/>
    </row>
    <row r="33" spans="2:6">
      <c r="B33" s="182" t="s">
        <v>4</v>
      </c>
      <c r="C33" s="175" t="s">
        <v>25</v>
      </c>
      <c r="D33" s="203">
        <v>1493.42</v>
      </c>
      <c r="E33" s="226">
        <v>72.52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14.7</v>
      </c>
      <c r="E35" s="226">
        <v>1.36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10.37</v>
      </c>
      <c r="E37" s="226">
        <v>0.4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/>
      <c r="E39" s="227">
        <v>0</v>
      </c>
      <c r="F39" s="71"/>
    </row>
    <row r="40" spans="2:6" ht="13.5" thickBot="1">
      <c r="B40" s="97" t="s">
        <v>35</v>
      </c>
      <c r="C40" s="98" t="s">
        <v>36</v>
      </c>
      <c r="D40" s="205">
        <v>-177.66</v>
      </c>
      <c r="E40" s="232">
        <v>1.87</v>
      </c>
    </row>
    <row r="41" spans="2:6" ht="13.5" thickBot="1">
      <c r="B41" s="99" t="s">
        <v>37</v>
      </c>
      <c r="C41" s="100" t="s">
        <v>38</v>
      </c>
      <c r="D41" s="206">
        <v>79.060000000000031</v>
      </c>
      <c r="E41" s="148">
        <f>E26+E27+E40</f>
        <v>86.29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68.873000000000005</v>
      </c>
      <c r="E47" s="149">
        <v>3.8530000000000002</v>
      </c>
    </row>
    <row r="48" spans="2:6">
      <c r="B48" s="187" t="s">
        <v>6</v>
      </c>
      <c r="C48" s="188" t="s">
        <v>41</v>
      </c>
      <c r="D48" s="207">
        <v>3.8530000000000002</v>
      </c>
      <c r="E48" s="149">
        <v>4.0759999999999996</v>
      </c>
    </row>
    <row r="49" spans="2:5">
      <c r="B49" s="120" t="s">
        <v>23</v>
      </c>
      <c r="C49" s="124" t="s">
        <v>113</v>
      </c>
      <c r="D49" s="208"/>
      <c r="E49" s="149"/>
    </row>
    <row r="50" spans="2:5">
      <c r="B50" s="185" t="s">
        <v>4</v>
      </c>
      <c r="C50" s="186" t="s">
        <v>40</v>
      </c>
      <c r="D50" s="207">
        <v>24.09</v>
      </c>
      <c r="E50" s="149">
        <v>20.52</v>
      </c>
    </row>
    <row r="51" spans="2:5">
      <c r="B51" s="185" t="s">
        <v>6</v>
      </c>
      <c r="C51" s="186" t="s">
        <v>114</v>
      </c>
      <c r="D51" s="207">
        <v>19.89</v>
      </c>
      <c r="E51" s="149">
        <v>20.100000000000001</v>
      </c>
    </row>
    <row r="52" spans="2:5">
      <c r="B52" s="185" t="s">
        <v>8</v>
      </c>
      <c r="C52" s="186" t="s">
        <v>115</v>
      </c>
      <c r="D52" s="207">
        <v>25.23</v>
      </c>
      <c r="E52" s="75">
        <v>22.22</v>
      </c>
    </row>
    <row r="53" spans="2:5" ht="14.25" customHeight="1" thickBot="1">
      <c r="B53" s="189" t="s">
        <v>9</v>
      </c>
      <c r="C53" s="190" t="s">
        <v>41</v>
      </c>
      <c r="D53" s="209">
        <v>20.52</v>
      </c>
      <c r="E53" s="233">
        <v>21.17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7.2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86.29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3.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86.29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86.29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86.29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6" right="0.75" top="0.62" bottom="0.52" header="0.5" footer="0.5"/>
  <pageSetup paperSize="9" scale="70" orientation="portrait" r:id="rId1"/>
  <headerFooter alignWithMargins="0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0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41"/>
      <c r="C4" s="141"/>
      <c r="D4" s="141"/>
      <c r="E4" s="141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207</v>
      </c>
      <c r="C6" s="359"/>
      <c r="D6" s="359"/>
      <c r="E6" s="359"/>
    </row>
    <row r="7" spans="2:7" ht="14.25">
      <c r="B7" s="139"/>
      <c r="C7" s="139"/>
      <c r="D7" s="139"/>
      <c r="E7" s="139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40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1288997.19</v>
      </c>
      <c r="E11" s="244">
        <f>SUM(E12:E14)</f>
        <v>1445908.38</v>
      </c>
    </row>
    <row r="12" spans="2:7">
      <c r="B12" s="174" t="s">
        <v>4</v>
      </c>
      <c r="C12" s="175" t="s">
        <v>5</v>
      </c>
      <c r="D12" s="283">
        <v>1288997.19</v>
      </c>
      <c r="E12" s="304">
        <v>1445908.38</v>
      </c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1288997.19</v>
      </c>
      <c r="E21" s="148">
        <f>E11-E17</f>
        <v>1445908.38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1635799.49</v>
      </c>
      <c r="E26" s="231">
        <f>D21</f>
        <v>1288997.19</v>
      </c>
    </row>
    <row r="27" spans="2:6">
      <c r="B27" s="9" t="s">
        <v>17</v>
      </c>
      <c r="C27" s="10" t="s">
        <v>111</v>
      </c>
      <c r="D27" s="202">
        <v>75837.48000000001</v>
      </c>
      <c r="E27" s="224">
        <v>-22512.19</v>
      </c>
      <c r="F27" s="71"/>
    </row>
    <row r="28" spans="2:6">
      <c r="B28" s="9" t="s">
        <v>18</v>
      </c>
      <c r="C28" s="10" t="s">
        <v>19</v>
      </c>
      <c r="D28" s="202">
        <v>100015.6</v>
      </c>
      <c r="E28" s="225">
        <v>0</v>
      </c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>
        <v>100015.6</v>
      </c>
      <c r="E31" s="226"/>
      <c r="F31" s="71"/>
    </row>
    <row r="32" spans="2:6">
      <c r="B32" s="92" t="s">
        <v>23</v>
      </c>
      <c r="C32" s="11" t="s">
        <v>24</v>
      </c>
      <c r="D32" s="202">
        <v>24178.120000000003</v>
      </c>
      <c r="E32" s="225">
        <v>22512.19</v>
      </c>
      <c r="F32" s="71"/>
    </row>
    <row r="33" spans="2:6">
      <c r="B33" s="182" t="s">
        <v>4</v>
      </c>
      <c r="C33" s="175" t="s">
        <v>25</v>
      </c>
      <c r="D33" s="203"/>
      <c r="E33" s="226"/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15.29</v>
      </c>
      <c r="E35" s="226">
        <v>365.78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24162.83</v>
      </c>
      <c r="E37" s="226">
        <v>22146.41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/>
      <c r="E39" s="227"/>
      <c r="F39" s="71"/>
    </row>
    <row r="40" spans="2:6" ht="13.5" thickBot="1">
      <c r="B40" s="97" t="s">
        <v>35</v>
      </c>
      <c r="C40" s="98" t="s">
        <v>36</v>
      </c>
      <c r="D40" s="205">
        <v>-422639.78</v>
      </c>
      <c r="E40" s="232">
        <v>179423.38</v>
      </c>
    </row>
    <row r="41" spans="2:6" ht="13.5" thickBot="1">
      <c r="B41" s="99" t="s">
        <v>37</v>
      </c>
      <c r="C41" s="100" t="s">
        <v>38</v>
      </c>
      <c r="D41" s="206">
        <v>1288997.19</v>
      </c>
      <c r="E41" s="148">
        <f>E26+E27+E40</f>
        <v>1445908.38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78380.426000000007</v>
      </c>
      <c r="E47" s="149">
        <v>81737.297999999995</v>
      </c>
    </row>
    <row r="48" spans="2:6">
      <c r="B48" s="187" t="s">
        <v>6</v>
      </c>
      <c r="C48" s="188" t="s">
        <v>41</v>
      </c>
      <c r="D48" s="207">
        <v>81737.297999999995</v>
      </c>
      <c r="E48" s="149">
        <v>80417.596000000005</v>
      </c>
    </row>
    <row r="49" spans="2:5">
      <c r="B49" s="120" t="s">
        <v>23</v>
      </c>
      <c r="C49" s="124" t="s">
        <v>113</v>
      </c>
      <c r="D49" s="208"/>
      <c r="E49" s="149"/>
    </row>
    <row r="50" spans="2:5">
      <c r="B50" s="185" t="s">
        <v>4</v>
      </c>
      <c r="C50" s="186" t="s">
        <v>40</v>
      </c>
      <c r="D50" s="207">
        <v>20.87</v>
      </c>
      <c r="E50" s="149">
        <v>15.77</v>
      </c>
    </row>
    <row r="51" spans="2:5">
      <c r="B51" s="185" t="s">
        <v>6</v>
      </c>
      <c r="C51" s="186" t="s">
        <v>114</v>
      </c>
      <c r="D51" s="207">
        <v>15.52</v>
      </c>
      <c r="E51" s="149">
        <v>15.68</v>
      </c>
    </row>
    <row r="52" spans="2:5">
      <c r="B52" s="185" t="s">
        <v>8</v>
      </c>
      <c r="C52" s="186" t="s">
        <v>115</v>
      </c>
      <c r="D52" s="207">
        <v>21.65</v>
      </c>
      <c r="E52" s="75">
        <v>17.98</v>
      </c>
    </row>
    <row r="53" spans="2:5" ht="13.5" customHeight="1" thickBot="1">
      <c r="B53" s="189" t="s">
        <v>9</v>
      </c>
      <c r="C53" s="190" t="s">
        <v>41</v>
      </c>
      <c r="D53" s="209">
        <v>15.77</v>
      </c>
      <c r="E53" s="233">
        <v>17.98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6.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1445908.38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1445908.38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1445908.38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1445908.38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1">
    <pageSetUpPr fitToPage="1"/>
  </sheetPr>
  <dimension ref="A1:G81"/>
  <sheetViews>
    <sheetView zoomScale="80" zoomScaleNormal="80" workbookViewId="0">
      <selection activeCell="G4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41"/>
      <c r="C4" s="141"/>
      <c r="D4" s="141"/>
      <c r="E4" s="141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208</v>
      </c>
      <c r="C6" s="359"/>
      <c r="D6" s="359"/>
      <c r="E6" s="359"/>
    </row>
    <row r="7" spans="2:7" ht="14.25">
      <c r="B7" s="139"/>
      <c r="C7" s="139"/>
      <c r="D7" s="139"/>
      <c r="E7" s="139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40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34626.68</v>
      </c>
      <c r="E11" s="244">
        <f>SUM(E12:E14)</f>
        <v>16873.509999999998</v>
      </c>
    </row>
    <row r="12" spans="2:7">
      <c r="B12" s="174" t="s">
        <v>4</v>
      </c>
      <c r="C12" s="175" t="s">
        <v>5</v>
      </c>
      <c r="D12" s="283">
        <v>34626.68</v>
      </c>
      <c r="E12" s="304">
        <f>16962.39-88.88</f>
        <v>16873.509999999998</v>
      </c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34626.68</v>
      </c>
      <c r="E21" s="148">
        <f>E11-E17</f>
        <v>16873.509999999998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9274.66</v>
      </c>
      <c r="E26" s="231">
        <f>D21</f>
        <v>34626.68</v>
      </c>
    </row>
    <row r="27" spans="2:6">
      <c r="B27" s="9" t="s">
        <v>17</v>
      </c>
      <c r="C27" s="10" t="s">
        <v>111</v>
      </c>
      <c r="D27" s="202">
        <v>24367.31</v>
      </c>
      <c r="E27" s="224">
        <f>E28-E32</f>
        <v>-18774.13</v>
      </c>
      <c r="F27" s="71"/>
    </row>
    <row r="28" spans="2:6">
      <c r="B28" s="9" t="s">
        <v>18</v>
      </c>
      <c r="C28" s="10" t="s">
        <v>19</v>
      </c>
      <c r="D28" s="202">
        <v>32065.45</v>
      </c>
      <c r="E28" s="225">
        <v>8182.03</v>
      </c>
      <c r="F28" s="71"/>
    </row>
    <row r="29" spans="2:6">
      <c r="B29" s="182" t="s">
        <v>4</v>
      </c>
      <c r="C29" s="175" t="s">
        <v>20</v>
      </c>
      <c r="D29" s="203">
        <v>7633.97</v>
      </c>
      <c r="E29" s="226">
        <v>7838.5</v>
      </c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>
        <v>24431.48</v>
      </c>
      <c r="E31" s="226">
        <v>343.53</v>
      </c>
      <c r="F31" s="71"/>
    </row>
    <row r="32" spans="2:6">
      <c r="B32" s="92" t="s">
        <v>23</v>
      </c>
      <c r="C32" s="11" t="s">
        <v>24</v>
      </c>
      <c r="D32" s="202">
        <v>7698.1399999999994</v>
      </c>
      <c r="E32" s="225">
        <f>SUM(E33:E39)</f>
        <v>26956.16</v>
      </c>
      <c r="F32" s="71"/>
    </row>
    <row r="33" spans="2:6">
      <c r="B33" s="182" t="s">
        <v>4</v>
      </c>
      <c r="C33" s="175" t="s">
        <v>25</v>
      </c>
      <c r="D33" s="203">
        <v>2863.83</v>
      </c>
      <c r="E33" s="226">
        <f>25985.98+2.14</f>
        <v>25988.12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295.2</v>
      </c>
      <c r="E35" s="226">
        <v>441.56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370.2</v>
      </c>
      <c r="E37" s="226">
        <v>462.05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>
        <v>4168.91</v>
      </c>
      <c r="E39" s="227">
        <v>64.430000000000291</v>
      </c>
      <c r="F39" s="71"/>
    </row>
    <row r="40" spans="2:6" ht="13.5" thickBot="1">
      <c r="B40" s="97" t="s">
        <v>35</v>
      </c>
      <c r="C40" s="98" t="s">
        <v>36</v>
      </c>
      <c r="D40" s="205">
        <v>984.71</v>
      </c>
      <c r="E40" s="232">
        <v>1020.96</v>
      </c>
    </row>
    <row r="41" spans="2:6" ht="13.5" thickBot="1">
      <c r="B41" s="99" t="s">
        <v>37</v>
      </c>
      <c r="C41" s="100" t="s">
        <v>38</v>
      </c>
      <c r="D41" s="206">
        <v>34626.68</v>
      </c>
      <c r="E41" s="148">
        <f>E26+E27+E40</f>
        <v>16873.509999999998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160.37799999999999</v>
      </c>
      <c r="E47" s="149">
        <v>579.62302999999997</v>
      </c>
    </row>
    <row r="48" spans="2:6">
      <c r="B48" s="187" t="s">
        <v>6</v>
      </c>
      <c r="C48" s="188" t="s">
        <v>41</v>
      </c>
      <c r="D48" s="207">
        <v>579.62302999999997</v>
      </c>
      <c r="E48" s="149">
        <v>275.666</v>
      </c>
    </row>
    <row r="49" spans="2:5">
      <c r="B49" s="120" t="s">
        <v>23</v>
      </c>
      <c r="C49" s="124" t="s">
        <v>113</v>
      </c>
      <c r="D49" s="208"/>
      <c r="E49" s="149"/>
    </row>
    <row r="50" spans="2:5">
      <c r="B50" s="185" t="s">
        <v>4</v>
      </c>
      <c r="C50" s="186" t="s">
        <v>40</v>
      </c>
      <c r="D50" s="207">
        <v>57.83</v>
      </c>
      <c r="E50" s="149">
        <v>59.74</v>
      </c>
    </row>
    <row r="51" spans="2:5">
      <c r="B51" s="185" t="s">
        <v>6</v>
      </c>
      <c r="C51" s="186" t="s">
        <v>114</v>
      </c>
      <c r="D51" s="207">
        <v>57.71</v>
      </c>
      <c r="E51" s="149">
        <v>59.68</v>
      </c>
    </row>
    <row r="52" spans="2:5">
      <c r="B52" s="185" t="s">
        <v>8</v>
      </c>
      <c r="C52" s="186" t="s">
        <v>115</v>
      </c>
      <c r="D52" s="207">
        <v>59.77</v>
      </c>
      <c r="E52" s="75">
        <v>61.56</v>
      </c>
    </row>
    <row r="53" spans="2:5" ht="12.75" customHeight="1" thickBot="1">
      <c r="B53" s="189" t="s">
        <v>9</v>
      </c>
      <c r="C53" s="190" t="s">
        <v>41</v>
      </c>
      <c r="D53" s="209">
        <v>59.74</v>
      </c>
      <c r="E53" s="233">
        <v>61.21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7.2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16873.509999999998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16873.509999999998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16873.509999999998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16873.509999999998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2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41"/>
      <c r="C4" s="141"/>
      <c r="D4" s="141"/>
      <c r="E4" s="141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258</v>
      </c>
      <c r="C6" s="359"/>
      <c r="D6" s="359"/>
      <c r="E6" s="359"/>
    </row>
    <row r="7" spans="2:7" ht="14.25">
      <c r="B7" s="139"/>
      <c r="C7" s="139"/>
      <c r="D7" s="139"/>
      <c r="E7" s="139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40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5017536.5999999996</v>
      </c>
      <c r="E11" s="244">
        <f>SUM(E12:E14)</f>
        <v>4476349.07</v>
      </c>
    </row>
    <row r="12" spans="2:7">
      <c r="B12" s="174" t="s">
        <v>4</v>
      </c>
      <c r="C12" s="175" t="s">
        <v>5</v>
      </c>
      <c r="D12" s="283">
        <v>5017536.5999999996</v>
      </c>
      <c r="E12" s="304">
        <v>4476349.07</v>
      </c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5017536.5999999996</v>
      </c>
      <c r="E21" s="148">
        <f>E11-E17</f>
        <v>4476349.07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4175217.15</v>
      </c>
      <c r="E26" s="231">
        <f>D21</f>
        <v>5017536.5999999996</v>
      </c>
    </row>
    <row r="27" spans="2:6">
      <c r="B27" s="9" t="s">
        <v>17</v>
      </c>
      <c r="C27" s="10" t="s">
        <v>111</v>
      </c>
      <c r="D27" s="202">
        <v>776696.32999999961</v>
      </c>
      <c r="E27" s="224">
        <v>-631778.48</v>
      </c>
      <c r="F27" s="71"/>
    </row>
    <row r="28" spans="2:6">
      <c r="B28" s="9" t="s">
        <v>18</v>
      </c>
      <c r="C28" s="10" t="s">
        <v>19</v>
      </c>
      <c r="D28" s="202">
        <v>2780304.51</v>
      </c>
      <c r="E28" s="225">
        <v>141390.82999999999</v>
      </c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>
        <v>2780304.51</v>
      </c>
      <c r="E31" s="226">
        <v>141390.82999999999</v>
      </c>
      <c r="F31" s="71"/>
    </row>
    <row r="32" spans="2:6">
      <c r="B32" s="92" t="s">
        <v>23</v>
      </c>
      <c r="C32" s="11" t="s">
        <v>24</v>
      </c>
      <c r="D32" s="202">
        <v>2003608.1800000002</v>
      </c>
      <c r="E32" s="225">
        <v>773169.31</v>
      </c>
      <c r="F32" s="71"/>
    </row>
    <row r="33" spans="2:6">
      <c r="B33" s="182" t="s">
        <v>4</v>
      </c>
      <c r="C33" s="175" t="s">
        <v>25</v>
      </c>
      <c r="D33" s="203">
        <v>1889958.37</v>
      </c>
      <c r="E33" s="226">
        <v>465630.33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5526.15</v>
      </c>
      <c r="E35" s="226">
        <v>12810.51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51927.34</v>
      </c>
      <c r="E37" s="226">
        <v>76707.289999999994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>
        <v>56196.32</v>
      </c>
      <c r="E39" s="227">
        <v>218021.18</v>
      </c>
      <c r="F39" s="71"/>
    </row>
    <row r="40" spans="2:6" ht="13.5" thickBot="1">
      <c r="B40" s="97" t="s">
        <v>35</v>
      </c>
      <c r="C40" s="98" t="s">
        <v>36</v>
      </c>
      <c r="D40" s="205">
        <v>65623.12</v>
      </c>
      <c r="E40" s="232">
        <v>90590.95</v>
      </c>
    </row>
    <row r="41" spans="2:6" ht="13.5" thickBot="1">
      <c r="B41" s="99" t="s">
        <v>37</v>
      </c>
      <c r="C41" s="100" t="s">
        <v>38</v>
      </c>
      <c r="D41" s="206">
        <v>5017536.5999999996</v>
      </c>
      <c r="E41" s="148">
        <f>E26+E27+E40</f>
        <v>4476349.0699999994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21699.584999999999</v>
      </c>
      <c r="E47" s="149">
        <v>25602.289000000001</v>
      </c>
    </row>
    <row r="48" spans="2:6">
      <c r="B48" s="187" t="s">
        <v>6</v>
      </c>
      <c r="C48" s="188" t="s">
        <v>41</v>
      </c>
      <c r="D48" s="207">
        <v>25602.289000000001</v>
      </c>
      <c r="E48" s="149">
        <v>22414.245999999999</v>
      </c>
    </row>
    <row r="49" spans="2:5">
      <c r="B49" s="120" t="s">
        <v>23</v>
      </c>
      <c r="C49" s="124" t="s">
        <v>113</v>
      </c>
      <c r="D49" s="208"/>
      <c r="E49" s="149"/>
    </row>
    <row r="50" spans="2:5">
      <c r="B50" s="185" t="s">
        <v>4</v>
      </c>
      <c r="C50" s="186" t="s">
        <v>40</v>
      </c>
      <c r="D50" s="207">
        <v>192.41</v>
      </c>
      <c r="E50" s="149">
        <v>195.98</v>
      </c>
    </row>
    <row r="51" spans="2:5">
      <c r="B51" s="185" t="s">
        <v>6</v>
      </c>
      <c r="C51" s="186" t="s">
        <v>114</v>
      </c>
      <c r="D51" s="207">
        <v>192.41</v>
      </c>
      <c r="E51" s="149">
        <v>195.72</v>
      </c>
    </row>
    <row r="52" spans="2:5">
      <c r="B52" s="185" t="s">
        <v>8</v>
      </c>
      <c r="C52" s="186" t="s">
        <v>115</v>
      </c>
      <c r="D52" s="207">
        <v>196.09</v>
      </c>
      <c r="E52" s="75">
        <v>199.71</v>
      </c>
    </row>
    <row r="53" spans="2:5" ht="12.75" customHeight="1" thickBot="1">
      <c r="B53" s="189" t="s">
        <v>9</v>
      </c>
      <c r="C53" s="190" t="s">
        <v>41</v>
      </c>
      <c r="D53" s="209">
        <v>195.98</v>
      </c>
      <c r="E53" s="233">
        <v>199.71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5.7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4476349.07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3.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4476349.07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4476349.07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4476349.07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3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41"/>
      <c r="C4" s="141"/>
      <c r="D4" s="141"/>
      <c r="E4" s="141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259</v>
      </c>
      <c r="C6" s="359"/>
      <c r="D6" s="359"/>
      <c r="E6" s="359"/>
    </row>
    <row r="7" spans="2:7" ht="14.25">
      <c r="B7" s="139"/>
      <c r="C7" s="139"/>
      <c r="D7" s="139"/>
      <c r="E7" s="139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40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5116051.53</v>
      </c>
      <c r="E11" s="244">
        <f>SUM(E12:E14)</f>
        <v>5467492.3099999996</v>
      </c>
    </row>
    <row r="12" spans="2:7">
      <c r="B12" s="174" t="s">
        <v>4</v>
      </c>
      <c r="C12" s="175" t="s">
        <v>5</v>
      </c>
      <c r="D12" s="283">
        <v>5116051.53</v>
      </c>
      <c r="E12" s="304">
        <v>5467492.3099999996</v>
      </c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5116051.53</v>
      </c>
      <c r="E21" s="148">
        <f>E11-E17</f>
        <v>5467492.3099999996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6918174.9500000002</v>
      </c>
      <c r="E26" s="231">
        <f>D21</f>
        <v>5116051.53</v>
      </c>
    </row>
    <row r="27" spans="2:6">
      <c r="B27" s="9" t="s">
        <v>17</v>
      </c>
      <c r="C27" s="10" t="s">
        <v>111</v>
      </c>
      <c r="D27" s="202">
        <v>-1990973.6699999995</v>
      </c>
      <c r="E27" s="224">
        <v>153259.74</v>
      </c>
      <c r="F27" s="71"/>
    </row>
    <row r="28" spans="2:6">
      <c r="B28" s="9" t="s">
        <v>18</v>
      </c>
      <c r="C28" s="10" t="s">
        <v>19</v>
      </c>
      <c r="D28" s="202">
        <v>3752231.52</v>
      </c>
      <c r="E28" s="225">
        <v>5293295.72</v>
      </c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>
        <v>3752231.52</v>
      </c>
      <c r="E31" s="226">
        <v>5293295.72</v>
      </c>
      <c r="F31" s="71"/>
    </row>
    <row r="32" spans="2:6">
      <c r="B32" s="92" t="s">
        <v>23</v>
      </c>
      <c r="C32" s="11" t="s">
        <v>24</v>
      </c>
      <c r="D32" s="202">
        <v>5743205.1899999995</v>
      </c>
      <c r="E32" s="225">
        <v>5140035.9800000004</v>
      </c>
      <c r="F32" s="71"/>
    </row>
    <row r="33" spans="2:6">
      <c r="B33" s="182" t="s">
        <v>4</v>
      </c>
      <c r="C33" s="175" t="s">
        <v>25</v>
      </c>
      <c r="D33" s="203">
        <v>5269194.6900000004</v>
      </c>
      <c r="E33" s="226">
        <v>4953463.6100000003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23315.599999999999</v>
      </c>
      <c r="E35" s="226">
        <v>10746.41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128447.52</v>
      </c>
      <c r="E37" s="226">
        <v>132132.47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>
        <v>322247.38</v>
      </c>
      <c r="E39" s="227">
        <v>43693.49</v>
      </c>
      <c r="F39" s="71"/>
    </row>
    <row r="40" spans="2:6" ht="13.5" thickBot="1">
      <c r="B40" s="97" t="s">
        <v>35</v>
      </c>
      <c r="C40" s="98" t="s">
        <v>36</v>
      </c>
      <c r="D40" s="205">
        <v>188850.25</v>
      </c>
      <c r="E40" s="232">
        <v>198181.04</v>
      </c>
    </row>
    <row r="41" spans="2:6" ht="13.5" thickBot="1">
      <c r="B41" s="99" t="s">
        <v>37</v>
      </c>
      <c r="C41" s="100" t="s">
        <v>38</v>
      </c>
      <c r="D41" s="206">
        <v>5116051.5300000012</v>
      </c>
      <c r="E41" s="148">
        <f>E26+E27+E40</f>
        <v>5467492.3100000005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629497.26599999995</v>
      </c>
      <c r="E47" s="149">
        <v>454356.26400000002</v>
      </c>
    </row>
    <row r="48" spans="2:6">
      <c r="B48" s="187" t="s">
        <v>6</v>
      </c>
      <c r="C48" s="188" t="s">
        <v>41</v>
      </c>
      <c r="D48" s="207">
        <v>454356.26400000002</v>
      </c>
      <c r="E48" s="149">
        <v>473786.16200000001</v>
      </c>
    </row>
    <row r="49" spans="2:5">
      <c r="B49" s="120" t="s">
        <v>23</v>
      </c>
      <c r="C49" s="124" t="s">
        <v>113</v>
      </c>
      <c r="D49" s="208"/>
      <c r="E49" s="149"/>
    </row>
    <row r="50" spans="2:5">
      <c r="B50" s="185" t="s">
        <v>4</v>
      </c>
      <c r="C50" s="186" t="s">
        <v>40</v>
      </c>
      <c r="D50" s="207">
        <v>10.99</v>
      </c>
      <c r="E50" s="149">
        <v>11.26</v>
      </c>
    </row>
    <row r="51" spans="2:5">
      <c r="B51" s="185" t="s">
        <v>6</v>
      </c>
      <c r="C51" s="186" t="s">
        <v>114</v>
      </c>
      <c r="D51" s="207">
        <v>10.99</v>
      </c>
      <c r="E51" s="149">
        <v>11.24</v>
      </c>
    </row>
    <row r="52" spans="2:5">
      <c r="B52" s="185" t="s">
        <v>8</v>
      </c>
      <c r="C52" s="186" t="s">
        <v>115</v>
      </c>
      <c r="D52" s="207">
        <v>11.27</v>
      </c>
      <c r="E52" s="75">
        <v>11.54</v>
      </c>
    </row>
    <row r="53" spans="2:5" ht="12.75" customHeight="1" thickBot="1">
      <c r="B53" s="189" t="s">
        <v>9</v>
      </c>
      <c r="C53" s="190" t="s">
        <v>41</v>
      </c>
      <c r="D53" s="209">
        <v>11.26</v>
      </c>
      <c r="E53" s="233">
        <v>11.54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6.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5467492.3099999996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5467492.3099999996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5467492.3099999996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5467492.3099999996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4"/>
  <dimension ref="A1:F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141"/>
      <c r="C4" s="141"/>
      <c r="D4" s="141"/>
      <c r="E4" s="141"/>
    </row>
    <row r="5" spans="2:5" ht="21" customHeight="1">
      <c r="B5" s="358" t="s">
        <v>1</v>
      </c>
      <c r="C5" s="358"/>
      <c r="D5" s="358"/>
      <c r="E5" s="358"/>
    </row>
    <row r="6" spans="2:5" ht="14.25">
      <c r="B6" s="359" t="s">
        <v>209</v>
      </c>
      <c r="C6" s="359"/>
      <c r="D6" s="359"/>
      <c r="E6" s="359"/>
    </row>
    <row r="7" spans="2:5" ht="14.25">
      <c r="B7" s="139"/>
      <c r="C7" s="139"/>
      <c r="D7" s="139"/>
      <c r="E7" s="139"/>
    </row>
    <row r="8" spans="2:5" ht="13.5">
      <c r="B8" s="361" t="s">
        <v>18</v>
      </c>
      <c r="C8" s="363"/>
      <c r="D8" s="363"/>
      <c r="E8" s="363"/>
    </row>
    <row r="9" spans="2:5" ht="16.5" thickBot="1">
      <c r="B9" s="360" t="s">
        <v>103</v>
      </c>
      <c r="C9" s="360"/>
      <c r="D9" s="360"/>
      <c r="E9" s="360"/>
    </row>
    <row r="10" spans="2:5" ht="13.5" thickBot="1">
      <c r="B10" s="140"/>
      <c r="C10" s="76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28" t="s">
        <v>109</v>
      </c>
      <c r="D11" s="243">
        <v>203932.92</v>
      </c>
      <c r="E11" s="244">
        <f>SUM(E12:E14)</f>
        <v>207089.8</v>
      </c>
    </row>
    <row r="12" spans="2:5">
      <c r="B12" s="174" t="s">
        <v>4</v>
      </c>
      <c r="C12" s="175" t="s">
        <v>5</v>
      </c>
      <c r="D12" s="283">
        <v>203932.92</v>
      </c>
      <c r="E12" s="304">
        <v>207089.8</v>
      </c>
    </row>
    <row r="13" spans="2:5">
      <c r="B13" s="174" t="s">
        <v>6</v>
      </c>
      <c r="C13" s="176" t="s">
        <v>7</v>
      </c>
      <c r="D13" s="276"/>
      <c r="E13" s="305"/>
    </row>
    <row r="14" spans="2:5">
      <c r="B14" s="174" t="s">
        <v>8</v>
      </c>
      <c r="C14" s="176" t="s">
        <v>10</v>
      </c>
      <c r="D14" s="276"/>
      <c r="E14" s="305"/>
    </row>
    <row r="15" spans="2:5">
      <c r="B15" s="174" t="s">
        <v>106</v>
      </c>
      <c r="C15" s="176" t="s">
        <v>11</v>
      </c>
      <c r="D15" s="276"/>
      <c r="E15" s="305"/>
    </row>
    <row r="16" spans="2:5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203932.92</v>
      </c>
      <c r="E21" s="148">
        <f>E11-E17</f>
        <v>207089.8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218290.53</v>
      </c>
      <c r="E26" s="231">
        <f>D21</f>
        <v>203932.92</v>
      </c>
    </row>
    <row r="27" spans="2:6">
      <c r="B27" s="9" t="s">
        <v>17</v>
      </c>
      <c r="C27" s="10" t="s">
        <v>111</v>
      </c>
      <c r="D27" s="202">
        <v>-3354.66</v>
      </c>
      <c r="E27" s="224">
        <v>-3301.42</v>
      </c>
      <c r="F27" s="71"/>
    </row>
    <row r="28" spans="2:6">
      <c r="B28" s="9" t="s">
        <v>18</v>
      </c>
      <c r="C28" s="10" t="s">
        <v>19</v>
      </c>
      <c r="D28" s="202">
        <v>0</v>
      </c>
      <c r="E28" s="225">
        <v>0</v>
      </c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/>
      <c r="E31" s="226"/>
      <c r="F31" s="71"/>
    </row>
    <row r="32" spans="2:6">
      <c r="B32" s="92" t="s">
        <v>23</v>
      </c>
      <c r="C32" s="11" t="s">
        <v>24</v>
      </c>
      <c r="D32" s="202">
        <v>3354.66</v>
      </c>
      <c r="E32" s="225">
        <v>3301.42</v>
      </c>
      <c r="F32" s="71"/>
    </row>
    <row r="33" spans="2:6">
      <c r="B33" s="182" t="s">
        <v>4</v>
      </c>
      <c r="C33" s="175" t="s">
        <v>25</v>
      </c>
      <c r="D33" s="203"/>
      <c r="E33" s="226"/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/>
      <c r="E35" s="226"/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3354.66</v>
      </c>
      <c r="E37" s="226">
        <v>3301.42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/>
      <c r="E39" s="227"/>
      <c r="F39" s="71"/>
    </row>
    <row r="40" spans="2:6" ht="13.5" thickBot="1">
      <c r="B40" s="97" t="s">
        <v>35</v>
      </c>
      <c r="C40" s="98" t="s">
        <v>36</v>
      </c>
      <c r="D40" s="205">
        <v>-11002.95</v>
      </c>
      <c r="E40" s="232">
        <v>6458.3</v>
      </c>
    </row>
    <row r="41" spans="2:6" ht="13.5" thickBot="1">
      <c r="B41" s="99" t="s">
        <v>37</v>
      </c>
      <c r="C41" s="100" t="s">
        <v>38</v>
      </c>
      <c r="D41" s="206">
        <v>203932.91999999998</v>
      </c>
      <c r="E41" s="148">
        <f>E26+E27+E40</f>
        <v>207089.8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17848.776000000002</v>
      </c>
      <c r="E47" s="294">
        <v>17565.281999999999</v>
      </c>
    </row>
    <row r="48" spans="2:6">
      <c r="B48" s="187" t="s">
        <v>6</v>
      </c>
      <c r="C48" s="188" t="s">
        <v>41</v>
      </c>
      <c r="D48" s="207">
        <v>17565.281999999999</v>
      </c>
      <c r="E48" s="149">
        <v>17286.294000000002</v>
      </c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85" t="s">
        <v>4</v>
      </c>
      <c r="C50" s="186" t="s">
        <v>40</v>
      </c>
      <c r="D50" s="207">
        <v>12.23</v>
      </c>
      <c r="E50" s="75">
        <v>11.61</v>
      </c>
    </row>
    <row r="51" spans="2:5">
      <c r="B51" s="185" t="s">
        <v>6</v>
      </c>
      <c r="C51" s="186" t="s">
        <v>114</v>
      </c>
      <c r="D51" s="207">
        <v>11.31</v>
      </c>
      <c r="E51" s="75">
        <v>11.56</v>
      </c>
    </row>
    <row r="52" spans="2:5">
      <c r="B52" s="185" t="s">
        <v>8</v>
      </c>
      <c r="C52" s="186" t="s">
        <v>115</v>
      </c>
      <c r="D52" s="207">
        <v>12.4</v>
      </c>
      <c r="E52" s="75">
        <v>12.05</v>
      </c>
    </row>
    <row r="53" spans="2:5" ht="14.25" customHeight="1" thickBot="1">
      <c r="B53" s="189" t="s">
        <v>9</v>
      </c>
      <c r="C53" s="190" t="s">
        <v>41</v>
      </c>
      <c r="D53" s="209">
        <v>11.61</v>
      </c>
      <c r="E53" s="233">
        <v>11.98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5.7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207089.8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207089.8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207089.8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207089.8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5"/>
  <dimension ref="A1:F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141"/>
      <c r="C4" s="141"/>
      <c r="D4" s="141"/>
      <c r="E4" s="141"/>
    </row>
    <row r="5" spans="2:5" ht="21" customHeight="1">
      <c r="B5" s="358" t="s">
        <v>1</v>
      </c>
      <c r="C5" s="358"/>
      <c r="D5" s="358"/>
      <c r="E5" s="358"/>
    </row>
    <row r="6" spans="2:5" ht="14.25">
      <c r="B6" s="359" t="s">
        <v>210</v>
      </c>
      <c r="C6" s="359"/>
      <c r="D6" s="359"/>
      <c r="E6" s="359"/>
    </row>
    <row r="7" spans="2:5" ht="14.25">
      <c r="B7" s="139"/>
      <c r="C7" s="139"/>
      <c r="D7" s="139"/>
      <c r="E7" s="139"/>
    </row>
    <row r="8" spans="2:5" ht="13.5">
      <c r="B8" s="361" t="s">
        <v>18</v>
      </c>
      <c r="C8" s="363"/>
      <c r="D8" s="363"/>
      <c r="E8" s="363"/>
    </row>
    <row r="9" spans="2:5" ht="16.5" thickBot="1">
      <c r="B9" s="360" t="s">
        <v>103</v>
      </c>
      <c r="C9" s="360"/>
      <c r="D9" s="360"/>
      <c r="E9" s="360"/>
    </row>
    <row r="10" spans="2:5" ht="13.5" thickBot="1">
      <c r="B10" s="140"/>
      <c r="C10" s="76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28" t="s">
        <v>109</v>
      </c>
      <c r="D11" s="243">
        <v>365492.24</v>
      </c>
      <c r="E11" s="244">
        <f>SUM(E12:E14)</f>
        <v>253284.17</v>
      </c>
    </row>
    <row r="12" spans="2:5">
      <c r="B12" s="174" t="s">
        <v>4</v>
      </c>
      <c r="C12" s="175" t="s">
        <v>5</v>
      </c>
      <c r="D12" s="283">
        <v>365492.24</v>
      </c>
      <c r="E12" s="304">
        <v>253284.17</v>
      </c>
    </row>
    <row r="13" spans="2:5">
      <c r="B13" s="174" t="s">
        <v>6</v>
      </c>
      <c r="C13" s="176" t="s">
        <v>7</v>
      </c>
      <c r="D13" s="276"/>
      <c r="E13" s="305"/>
    </row>
    <row r="14" spans="2:5">
      <c r="B14" s="174" t="s">
        <v>8</v>
      </c>
      <c r="C14" s="176" t="s">
        <v>10</v>
      </c>
      <c r="D14" s="276"/>
      <c r="E14" s="305"/>
    </row>
    <row r="15" spans="2:5">
      <c r="B15" s="174" t="s">
        <v>106</v>
      </c>
      <c r="C15" s="176" t="s">
        <v>11</v>
      </c>
      <c r="D15" s="276"/>
      <c r="E15" s="305"/>
    </row>
    <row r="16" spans="2:5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365492.24</v>
      </c>
      <c r="E21" s="148">
        <f>E11-E17</f>
        <v>253284.17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493751.96</v>
      </c>
      <c r="E26" s="231">
        <f>D21</f>
        <v>365492.24</v>
      </c>
    </row>
    <row r="27" spans="2:6">
      <c r="B27" s="9" t="s">
        <v>17</v>
      </c>
      <c r="C27" s="10" t="s">
        <v>111</v>
      </c>
      <c r="D27" s="202">
        <v>-140989.1</v>
      </c>
      <c r="E27" s="224">
        <v>-122275.55</v>
      </c>
      <c r="F27" s="71"/>
    </row>
    <row r="28" spans="2:6">
      <c r="B28" s="9" t="s">
        <v>18</v>
      </c>
      <c r="C28" s="10" t="s">
        <v>19</v>
      </c>
      <c r="D28" s="202">
        <v>39647.379999999997</v>
      </c>
      <c r="E28" s="225">
        <v>0</v>
      </c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>
        <v>39647.379999999997</v>
      </c>
      <c r="E31" s="226"/>
      <c r="F31" s="71"/>
    </row>
    <row r="32" spans="2:6">
      <c r="B32" s="92" t="s">
        <v>23</v>
      </c>
      <c r="C32" s="11" t="s">
        <v>24</v>
      </c>
      <c r="D32" s="202">
        <v>180636.48</v>
      </c>
      <c r="E32" s="225">
        <v>122275.55</v>
      </c>
      <c r="F32" s="71"/>
    </row>
    <row r="33" spans="2:6">
      <c r="B33" s="182" t="s">
        <v>4</v>
      </c>
      <c r="C33" s="175" t="s">
        <v>25</v>
      </c>
      <c r="D33" s="203">
        <v>172252.07</v>
      </c>
      <c r="E33" s="226">
        <v>75284.83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2523.19</v>
      </c>
      <c r="E35" s="226">
        <v>1347.78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5861.22</v>
      </c>
      <c r="E37" s="226">
        <v>4679.83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/>
      <c r="E39" s="227">
        <v>40963.11</v>
      </c>
      <c r="F39" s="71"/>
    </row>
    <row r="40" spans="2:6" ht="13.5" thickBot="1">
      <c r="B40" s="97" t="s">
        <v>35</v>
      </c>
      <c r="C40" s="98" t="s">
        <v>36</v>
      </c>
      <c r="D40" s="205">
        <v>12729.38</v>
      </c>
      <c r="E40" s="232">
        <v>10067.48</v>
      </c>
    </row>
    <row r="41" spans="2:6" ht="13.5" thickBot="1">
      <c r="B41" s="99" t="s">
        <v>37</v>
      </c>
      <c r="C41" s="100" t="s">
        <v>38</v>
      </c>
      <c r="D41" s="206">
        <v>365492.24</v>
      </c>
      <c r="E41" s="148">
        <f>E26+E27+E40</f>
        <v>253284.17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40805.947</v>
      </c>
      <c r="E47" s="149">
        <v>29192.670999999998</v>
      </c>
    </row>
    <row r="48" spans="2:6">
      <c r="B48" s="187" t="s">
        <v>6</v>
      </c>
      <c r="C48" s="188" t="s">
        <v>41</v>
      </c>
      <c r="D48" s="207">
        <v>29192.670999999998</v>
      </c>
      <c r="E48" s="149">
        <v>19588.876</v>
      </c>
    </row>
    <row r="49" spans="2:5">
      <c r="B49" s="120" t="s">
        <v>23</v>
      </c>
      <c r="C49" s="124" t="s">
        <v>113</v>
      </c>
      <c r="D49" s="208"/>
      <c r="E49" s="149"/>
    </row>
    <row r="50" spans="2:5">
      <c r="B50" s="185" t="s">
        <v>4</v>
      </c>
      <c r="C50" s="186" t="s">
        <v>40</v>
      </c>
      <c r="D50" s="207">
        <v>12.1</v>
      </c>
      <c r="E50" s="149">
        <v>12.52</v>
      </c>
    </row>
    <row r="51" spans="2:5">
      <c r="B51" s="185" t="s">
        <v>6</v>
      </c>
      <c r="C51" s="186" t="s">
        <v>114</v>
      </c>
      <c r="D51" s="207">
        <v>12.07</v>
      </c>
      <c r="E51" s="149">
        <v>12.51</v>
      </c>
    </row>
    <row r="52" spans="2:5">
      <c r="B52" s="185" t="s">
        <v>8</v>
      </c>
      <c r="C52" s="186" t="s">
        <v>115</v>
      </c>
      <c r="D52" s="207">
        <v>12.52</v>
      </c>
      <c r="E52" s="75">
        <v>12.97</v>
      </c>
    </row>
    <row r="53" spans="2:5" ht="13.5" customHeight="1" thickBot="1">
      <c r="B53" s="189" t="s">
        <v>9</v>
      </c>
      <c r="C53" s="190" t="s">
        <v>41</v>
      </c>
      <c r="D53" s="209">
        <v>12.52</v>
      </c>
      <c r="E53" s="233">
        <v>12.93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8.7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253284.17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253284.17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253284.17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253284.17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6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41"/>
      <c r="C4" s="141"/>
      <c r="D4" s="141"/>
      <c r="E4" s="141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211</v>
      </c>
      <c r="C6" s="359"/>
      <c r="D6" s="359"/>
      <c r="E6" s="359"/>
    </row>
    <row r="7" spans="2:7" ht="14.25">
      <c r="B7" s="139"/>
      <c r="C7" s="139"/>
      <c r="D7" s="139"/>
      <c r="E7" s="139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40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994.75</v>
      </c>
      <c r="E11" s="244">
        <f>SUM(E12:E14)</f>
        <v>1059.5899999999999</v>
      </c>
    </row>
    <row r="12" spans="2:7">
      <c r="B12" s="174" t="s">
        <v>4</v>
      </c>
      <c r="C12" s="175" t="s">
        <v>5</v>
      </c>
      <c r="D12" s="283">
        <v>994.75</v>
      </c>
      <c r="E12" s="304">
        <v>1059.5899999999999</v>
      </c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994.75</v>
      </c>
      <c r="E21" s="148">
        <f>E11-E17</f>
        <v>1059.5899999999999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1189.1300000000001</v>
      </c>
      <c r="E26" s="231">
        <f>D21</f>
        <v>994.75</v>
      </c>
    </row>
    <row r="27" spans="2:6">
      <c r="B27" s="9" t="s">
        <v>17</v>
      </c>
      <c r="C27" s="10" t="s">
        <v>111</v>
      </c>
      <c r="D27" s="202">
        <v>0</v>
      </c>
      <c r="E27" s="224">
        <v>-49.4</v>
      </c>
      <c r="F27" s="71"/>
    </row>
    <row r="28" spans="2:6">
      <c r="B28" s="9" t="s">
        <v>18</v>
      </c>
      <c r="C28" s="10" t="s">
        <v>19</v>
      </c>
      <c r="D28" s="202">
        <v>0</v>
      </c>
      <c r="E28" s="225">
        <v>0</v>
      </c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/>
      <c r="E31" s="226"/>
      <c r="F31" s="71"/>
    </row>
    <row r="32" spans="2:6">
      <c r="B32" s="92" t="s">
        <v>23</v>
      </c>
      <c r="C32" s="11" t="s">
        <v>24</v>
      </c>
      <c r="D32" s="202">
        <v>0</v>
      </c>
      <c r="E32" s="225">
        <v>49.4</v>
      </c>
      <c r="F32" s="71"/>
    </row>
    <row r="33" spans="2:6">
      <c r="B33" s="182" t="s">
        <v>4</v>
      </c>
      <c r="C33" s="175" t="s">
        <v>25</v>
      </c>
      <c r="D33" s="203"/>
      <c r="E33" s="226"/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/>
      <c r="E35" s="226"/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/>
      <c r="E37" s="226">
        <v>49.4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/>
      <c r="E39" s="227">
        <v>0</v>
      </c>
      <c r="F39" s="71"/>
    </row>
    <row r="40" spans="2:6" ht="13.5" thickBot="1">
      <c r="B40" s="97" t="s">
        <v>35</v>
      </c>
      <c r="C40" s="98" t="s">
        <v>36</v>
      </c>
      <c r="D40" s="205">
        <v>-194.38</v>
      </c>
      <c r="E40" s="232">
        <v>114.24</v>
      </c>
    </row>
    <row r="41" spans="2:6" ht="13.5" thickBot="1">
      <c r="B41" s="99" t="s">
        <v>37</v>
      </c>
      <c r="C41" s="100" t="s">
        <v>38</v>
      </c>
      <c r="D41" s="206">
        <v>994.75000000000011</v>
      </c>
      <c r="E41" s="148">
        <f>E26+E27+E40</f>
        <v>1059.5899999999999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103.94499999999999</v>
      </c>
      <c r="E47" s="149">
        <v>103.94499999999999</v>
      </c>
    </row>
    <row r="48" spans="2:6">
      <c r="B48" s="187" t="s">
        <v>6</v>
      </c>
      <c r="C48" s="188" t="s">
        <v>41</v>
      </c>
      <c r="D48" s="207">
        <v>103.94499999999999</v>
      </c>
      <c r="E48" s="149">
        <v>99.212999999999994</v>
      </c>
    </row>
    <row r="49" spans="2:5">
      <c r="B49" s="120" t="s">
        <v>23</v>
      </c>
      <c r="C49" s="124" t="s">
        <v>113</v>
      </c>
      <c r="D49" s="208"/>
      <c r="E49" s="149"/>
    </row>
    <row r="50" spans="2:5">
      <c r="B50" s="185" t="s">
        <v>4</v>
      </c>
      <c r="C50" s="186" t="s">
        <v>40</v>
      </c>
      <c r="D50" s="207">
        <v>11.44</v>
      </c>
      <c r="E50" s="149">
        <v>9.57</v>
      </c>
    </row>
    <row r="51" spans="2:5">
      <c r="B51" s="185" t="s">
        <v>6</v>
      </c>
      <c r="C51" s="186" t="s">
        <v>114</v>
      </c>
      <c r="D51" s="207">
        <v>9.25</v>
      </c>
      <c r="E51" s="149">
        <v>9.42</v>
      </c>
    </row>
    <row r="52" spans="2:5">
      <c r="B52" s="185" t="s">
        <v>8</v>
      </c>
      <c r="C52" s="186" t="s">
        <v>115</v>
      </c>
      <c r="D52" s="207">
        <v>11.92</v>
      </c>
      <c r="E52" s="75">
        <v>10.68</v>
      </c>
    </row>
    <row r="53" spans="2:5" ht="12.75" customHeight="1" thickBot="1">
      <c r="B53" s="189" t="s">
        <v>9</v>
      </c>
      <c r="C53" s="190" t="s">
        <v>41</v>
      </c>
      <c r="D53" s="209">
        <v>9.57</v>
      </c>
      <c r="E53" s="233">
        <v>10.68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6.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1059.5899999999999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1059.5899999999999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1059.5899999999999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1059.5899999999999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7"/>
  <dimension ref="A1:F81"/>
  <sheetViews>
    <sheetView zoomScale="80" zoomScaleNormal="80" workbookViewId="0">
      <selection activeCell="J37" sqref="J37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141"/>
      <c r="C4" s="141"/>
      <c r="D4" s="141"/>
      <c r="E4" s="141"/>
    </row>
    <row r="5" spans="2:5" ht="21" customHeight="1">
      <c r="B5" s="358" t="s">
        <v>1</v>
      </c>
      <c r="C5" s="358"/>
      <c r="D5" s="358"/>
      <c r="E5" s="358"/>
    </row>
    <row r="6" spans="2:5" ht="14.25">
      <c r="B6" s="359" t="s">
        <v>260</v>
      </c>
      <c r="C6" s="359"/>
      <c r="D6" s="359"/>
      <c r="E6" s="359"/>
    </row>
    <row r="7" spans="2:5" ht="14.25">
      <c r="B7" s="139"/>
      <c r="C7" s="139"/>
      <c r="D7" s="139"/>
      <c r="E7" s="139"/>
    </row>
    <row r="8" spans="2:5" ht="13.5">
      <c r="B8" s="361" t="s">
        <v>18</v>
      </c>
      <c r="C8" s="363"/>
      <c r="D8" s="363"/>
      <c r="E8" s="363"/>
    </row>
    <row r="9" spans="2:5" ht="16.5" thickBot="1">
      <c r="B9" s="360" t="s">
        <v>103</v>
      </c>
      <c r="C9" s="360"/>
      <c r="D9" s="360"/>
      <c r="E9" s="360"/>
    </row>
    <row r="10" spans="2:5" ht="13.5" thickBot="1">
      <c r="B10" s="140"/>
      <c r="C10" s="76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28" t="s">
        <v>109</v>
      </c>
      <c r="D11" s="243"/>
      <c r="E11" s="244"/>
    </row>
    <row r="12" spans="2:5">
      <c r="B12" s="174" t="s">
        <v>4</v>
      </c>
      <c r="C12" s="175" t="s">
        <v>5</v>
      </c>
      <c r="D12" s="283"/>
      <c r="E12" s="304"/>
    </row>
    <row r="13" spans="2:5">
      <c r="B13" s="174" t="s">
        <v>6</v>
      </c>
      <c r="C13" s="176" t="s">
        <v>7</v>
      </c>
      <c r="D13" s="276"/>
      <c r="E13" s="305"/>
    </row>
    <row r="14" spans="2:5">
      <c r="B14" s="174" t="s">
        <v>8</v>
      </c>
      <c r="C14" s="176" t="s">
        <v>10</v>
      </c>
      <c r="D14" s="276"/>
      <c r="E14" s="305"/>
    </row>
    <row r="15" spans="2:5">
      <c r="B15" s="174" t="s">
        <v>106</v>
      </c>
      <c r="C15" s="176" t="s">
        <v>11</v>
      </c>
      <c r="D15" s="276"/>
      <c r="E15" s="305"/>
    </row>
    <row r="16" spans="2:5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/>
      <c r="E21" s="148"/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8.5</v>
      </c>
      <c r="E26" s="231"/>
    </row>
    <row r="27" spans="2:6">
      <c r="B27" s="9" t="s">
        <v>17</v>
      </c>
      <c r="C27" s="10" t="s">
        <v>111</v>
      </c>
      <c r="D27" s="202">
        <v>-8.36</v>
      </c>
      <c r="E27" s="224"/>
      <c r="F27" s="71"/>
    </row>
    <row r="28" spans="2:6">
      <c r="B28" s="9" t="s">
        <v>18</v>
      </c>
      <c r="C28" s="10" t="s">
        <v>19</v>
      </c>
      <c r="D28" s="202">
        <v>0</v>
      </c>
      <c r="E28" s="225"/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/>
      <c r="E31" s="226"/>
      <c r="F31" s="71"/>
    </row>
    <row r="32" spans="2:6">
      <c r="B32" s="92" t="s">
        <v>23</v>
      </c>
      <c r="C32" s="11" t="s">
        <v>24</v>
      </c>
      <c r="D32" s="202">
        <v>8.36</v>
      </c>
      <c r="E32" s="225"/>
      <c r="F32" s="71"/>
    </row>
    <row r="33" spans="2:6">
      <c r="B33" s="182" t="s">
        <v>4</v>
      </c>
      <c r="C33" s="175" t="s">
        <v>25</v>
      </c>
      <c r="D33" s="203">
        <v>0</v>
      </c>
      <c r="E33" s="226"/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/>
      <c r="E35" s="226"/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8.36</v>
      </c>
      <c r="E37" s="226"/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/>
      <c r="E39" s="227"/>
      <c r="F39" s="71"/>
    </row>
    <row r="40" spans="2:6" ht="13.5" thickBot="1">
      <c r="B40" s="97" t="s">
        <v>35</v>
      </c>
      <c r="C40" s="98" t="s">
        <v>36</v>
      </c>
      <c r="D40" s="205">
        <v>-0.14000000000000001</v>
      </c>
      <c r="E40" s="232"/>
    </row>
    <row r="41" spans="2:6" ht="13.5" thickBot="1">
      <c r="B41" s="99" t="s">
        <v>37</v>
      </c>
      <c r="C41" s="100" t="s">
        <v>38</v>
      </c>
      <c r="D41" s="206">
        <v>0</v>
      </c>
      <c r="E41" s="148"/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7.6999999999999999E-2</v>
      </c>
      <c r="E47" s="149"/>
    </row>
    <row r="48" spans="2:6">
      <c r="B48" s="187" t="s">
        <v>6</v>
      </c>
      <c r="C48" s="188" t="s">
        <v>41</v>
      </c>
      <c r="D48" s="207">
        <v>0</v>
      </c>
      <c r="E48" s="149"/>
    </row>
    <row r="49" spans="2:5">
      <c r="B49" s="120" t="s">
        <v>23</v>
      </c>
      <c r="C49" s="124" t="s">
        <v>113</v>
      </c>
      <c r="D49" s="208"/>
      <c r="E49" s="149"/>
    </row>
    <row r="50" spans="2:5">
      <c r="B50" s="185" t="s">
        <v>4</v>
      </c>
      <c r="C50" s="186" t="s">
        <v>40</v>
      </c>
      <c r="D50" s="207">
        <v>110.33</v>
      </c>
      <c r="E50" s="149"/>
    </row>
    <row r="51" spans="2:5">
      <c r="B51" s="185" t="s">
        <v>6</v>
      </c>
      <c r="C51" s="186" t="s">
        <v>114</v>
      </c>
      <c r="D51" s="207">
        <v>103.89</v>
      </c>
      <c r="E51" s="75"/>
    </row>
    <row r="52" spans="2:5">
      <c r="B52" s="185" t="s">
        <v>8</v>
      </c>
      <c r="C52" s="186" t="s">
        <v>115</v>
      </c>
      <c r="D52" s="207">
        <v>115.21</v>
      </c>
      <c r="E52" s="75"/>
    </row>
    <row r="53" spans="2:5" ht="13.5" customHeight="1" thickBot="1">
      <c r="B53" s="189" t="s">
        <v>9</v>
      </c>
      <c r="C53" s="190" t="s">
        <v>41</v>
      </c>
      <c r="D53" s="209">
        <v>0</v>
      </c>
      <c r="E53" s="233"/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5.7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0</v>
      </c>
      <c r="E58" s="31">
        <v>0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0</v>
      </c>
      <c r="E64" s="81">
        <v>0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0</v>
      </c>
      <c r="E74" s="66">
        <v>0</v>
      </c>
    </row>
    <row r="75" spans="2:5">
      <c r="B75" s="102" t="s">
        <v>4</v>
      </c>
      <c r="C75" s="15" t="s">
        <v>67</v>
      </c>
      <c r="D75" s="78">
        <f>D74</f>
        <v>0</v>
      </c>
      <c r="E75" s="79">
        <f>E74</f>
        <v>0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8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41"/>
      <c r="C4" s="141"/>
      <c r="D4" s="141"/>
      <c r="E4" s="141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212</v>
      </c>
      <c r="C6" s="359"/>
      <c r="D6" s="359"/>
      <c r="E6" s="359"/>
    </row>
    <row r="7" spans="2:7" ht="14.25">
      <c r="B7" s="139"/>
      <c r="C7" s="139"/>
      <c r="D7" s="139"/>
      <c r="E7" s="139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40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203163.85</v>
      </c>
      <c r="E11" s="244">
        <f>SUM(E12:E14)</f>
        <v>196572.73</v>
      </c>
    </row>
    <row r="12" spans="2:7">
      <c r="B12" s="174" t="s">
        <v>4</v>
      </c>
      <c r="C12" s="175" t="s">
        <v>5</v>
      </c>
      <c r="D12" s="283">
        <v>203163.85</v>
      </c>
      <c r="E12" s="304">
        <v>196572.73</v>
      </c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203163.85</v>
      </c>
      <c r="E21" s="148">
        <f>E11-E17</f>
        <v>196572.73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46258.73</v>
      </c>
      <c r="E26" s="231">
        <f>D21</f>
        <v>203163.85</v>
      </c>
    </row>
    <row r="27" spans="2:6">
      <c r="B27" s="9" t="s">
        <v>17</v>
      </c>
      <c r="C27" s="10" t="s">
        <v>111</v>
      </c>
      <c r="D27" s="202">
        <v>196534.13</v>
      </c>
      <c r="E27" s="224">
        <v>-45720.130000000005</v>
      </c>
      <c r="F27" s="71"/>
    </row>
    <row r="28" spans="2:6">
      <c r="B28" s="9" t="s">
        <v>18</v>
      </c>
      <c r="C28" s="10" t="s">
        <v>19</v>
      </c>
      <c r="D28" s="202">
        <v>200031.24</v>
      </c>
      <c r="E28" s="225">
        <v>0</v>
      </c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>
        <v>200031.24</v>
      </c>
      <c r="E31" s="226"/>
      <c r="F31" s="71"/>
    </row>
    <row r="32" spans="2:6">
      <c r="B32" s="92" t="s">
        <v>23</v>
      </c>
      <c r="C32" s="11" t="s">
        <v>24</v>
      </c>
      <c r="D32" s="202">
        <v>3497.11</v>
      </c>
      <c r="E32" s="225">
        <v>45720.130000000005</v>
      </c>
      <c r="F32" s="71"/>
    </row>
    <row r="33" spans="2:6">
      <c r="B33" s="182" t="s">
        <v>4</v>
      </c>
      <c r="C33" s="175" t="s">
        <v>25</v>
      </c>
      <c r="D33" s="203"/>
      <c r="E33" s="226"/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178.02</v>
      </c>
      <c r="E35" s="226">
        <v>49.79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3319.09</v>
      </c>
      <c r="E37" s="226">
        <v>3083.93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/>
      <c r="E39" s="227">
        <v>42586.41</v>
      </c>
      <c r="F39" s="71"/>
    </row>
    <row r="40" spans="2:6" ht="13.5" thickBot="1">
      <c r="B40" s="97" t="s">
        <v>35</v>
      </c>
      <c r="C40" s="98" t="s">
        <v>36</v>
      </c>
      <c r="D40" s="205">
        <v>-39629.01</v>
      </c>
      <c r="E40" s="232">
        <v>39129.01</v>
      </c>
    </row>
    <row r="41" spans="2:6" ht="13.5" thickBot="1">
      <c r="B41" s="99" t="s">
        <v>37</v>
      </c>
      <c r="C41" s="100" t="s">
        <v>38</v>
      </c>
      <c r="D41" s="206">
        <v>203163.85</v>
      </c>
      <c r="E41" s="148">
        <f>E26+E27+E40</f>
        <v>196572.73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918.92600000000004</v>
      </c>
      <c r="E47" s="149">
        <v>4741.28</v>
      </c>
    </row>
    <row r="48" spans="2:6">
      <c r="B48" s="187" t="s">
        <v>6</v>
      </c>
      <c r="C48" s="188" t="s">
        <v>41</v>
      </c>
      <c r="D48" s="207">
        <v>4741.28</v>
      </c>
      <c r="E48" s="149">
        <v>3779.518</v>
      </c>
    </row>
    <row r="49" spans="2:5">
      <c r="B49" s="120" t="s">
        <v>23</v>
      </c>
      <c r="C49" s="124" t="s">
        <v>113</v>
      </c>
      <c r="D49" s="208"/>
      <c r="E49" s="149"/>
    </row>
    <row r="50" spans="2:5">
      <c r="B50" s="185" t="s">
        <v>4</v>
      </c>
      <c r="C50" s="186" t="s">
        <v>40</v>
      </c>
      <c r="D50" s="207">
        <v>50.34</v>
      </c>
      <c r="E50" s="149">
        <v>42.85</v>
      </c>
    </row>
    <row r="51" spans="2:5">
      <c r="B51" s="185" t="s">
        <v>6</v>
      </c>
      <c r="C51" s="186" t="s">
        <v>114</v>
      </c>
      <c r="D51" s="207">
        <v>42.19</v>
      </c>
      <c r="E51" s="149">
        <v>42.83</v>
      </c>
    </row>
    <row r="52" spans="2:5">
      <c r="B52" s="185" t="s">
        <v>8</v>
      </c>
      <c r="C52" s="186" t="s">
        <v>115</v>
      </c>
      <c r="D52" s="207">
        <v>53.25</v>
      </c>
      <c r="E52" s="75">
        <v>52.36</v>
      </c>
    </row>
    <row r="53" spans="2:5" ht="13.5" customHeight="1" thickBot="1">
      <c r="B53" s="189" t="s">
        <v>9</v>
      </c>
      <c r="C53" s="190" t="s">
        <v>41</v>
      </c>
      <c r="D53" s="209">
        <v>42.85</v>
      </c>
      <c r="E53" s="233">
        <v>52.01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7.2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196572.73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196572.73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196572.73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196572.73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pageSetUpPr fitToPage="1"/>
  </sheetPr>
  <dimension ref="A1:F81"/>
  <sheetViews>
    <sheetView zoomScale="80" zoomScaleNormal="80" workbookViewId="0">
      <selection activeCell="M28" sqref="M28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85"/>
      <c r="C4" s="85"/>
      <c r="D4" s="85"/>
      <c r="E4" s="85"/>
    </row>
    <row r="5" spans="2:5" ht="21" customHeight="1">
      <c r="B5" s="358" t="s">
        <v>1</v>
      </c>
      <c r="C5" s="358"/>
      <c r="D5" s="358"/>
      <c r="E5" s="358"/>
    </row>
    <row r="6" spans="2:5" ht="14.25">
      <c r="B6" s="359" t="s">
        <v>102</v>
      </c>
      <c r="C6" s="359"/>
      <c r="D6" s="359"/>
      <c r="E6" s="359"/>
    </row>
    <row r="7" spans="2:5" ht="14.25">
      <c r="B7" s="89"/>
      <c r="C7" s="89"/>
      <c r="D7" s="89"/>
      <c r="E7" s="89"/>
    </row>
    <row r="8" spans="2:5" ht="13.5">
      <c r="B8" s="361" t="s">
        <v>18</v>
      </c>
      <c r="C8" s="363"/>
      <c r="D8" s="363"/>
      <c r="E8" s="363"/>
    </row>
    <row r="9" spans="2:5" ht="16.5" thickBot="1">
      <c r="B9" s="360" t="s">
        <v>103</v>
      </c>
      <c r="C9" s="360"/>
      <c r="D9" s="360"/>
      <c r="E9" s="360"/>
    </row>
    <row r="10" spans="2:5" ht="13.5" thickBot="1">
      <c r="B10" s="86"/>
      <c r="C10" s="76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28" t="s">
        <v>109</v>
      </c>
      <c r="D11" s="243">
        <v>972887.63</v>
      </c>
      <c r="E11" s="244">
        <f>SUM(E12:E14)</f>
        <v>1099707.0399999998</v>
      </c>
    </row>
    <row r="12" spans="2:5">
      <c r="B12" s="106" t="s">
        <v>4</v>
      </c>
      <c r="C12" s="6" t="s">
        <v>5</v>
      </c>
      <c r="D12" s="283">
        <v>969956.9</v>
      </c>
      <c r="E12" s="304">
        <f>1069343.31+30057.88-580.6</f>
        <v>1098820.5899999999</v>
      </c>
    </row>
    <row r="13" spans="2:5">
      <c r="B13" s="106" t="s">
        <v>6</v>
      </c>
      <c r="C13" s="68" t="s">
        <v>7</v>
      </c>
      <c r="D13" s="276"/>
      <c r="E13" s="305"/>
    </row>
    <row r="14" spans="2:5">
      <c r="B14" s="106" t="s">
        <v>8</v>
      </c>
      <c r="C14" s="68" t="s">
        <v>10</v>
      </c>
      <c r="D14" s="276">
        <v>2930.73</v>
      </c>
      <c r="E14" s="305">
        <f>E15</f>
        <v>886.45</v>
      </c>
    </row>
    <row r="15" spans="2:5">
      <c r="B15" s="106" t="s">
        <v>106</v>
      </c>
      <c r="C15" s="68" t="s">
        <v>11</v>
      </c>
      <c r="D15" s="276">
        <v>2930.73</v>
      </c>
      <c r="E15" s="305">
        <v>886.45</v>
      </c>
    </row>
    <row r="16" spans="2:5">
      <c r="B16" s="107" t="s">
        <v>107</v>
      </c>
      <c r="C16" s="91" t="s">
        <v>12</v>
      </c>
      <c r="D16" s="278"/>
      <c r="E16" s="306"/>
    </row>
    <row r="17" spans="2:6">
      <c r="B17" s="9" t="s">
        <v>13</v>
      </c>
      <c r="C17" s="11" t="s">
        <v>65</v>
      </c>
      <c r="D17" s="279">
        <v>709.75</v>
      </c>
      <c r="E17" s="307">
        <f>E18</f>
        <v>1381.98</v>
      </c>
    </row>
    <row r="18" spans="2:6">
      <c r="B18" s="106" t="s">
        <v>4</v>
      </c>
      <c r="C18" s="6" t="s">
        <v>11</v>
      </c>
      <c r="D18" s="278">
        <v>709.75</v>
      </c>
      <c r="E18" s="306">
        <v>1381.98</v>
      </c>
    </row>
    <row r="19" spans="2:6" ht="15" customHeight="1">
      <c r="B19" s="106" t="s">
        <v>6</v>
      </c>
      <c r="C19" s="68" t="s">
        <v>108</v>
      </c>
      <c r="D19" s="276"/>
      <c r="E19" s="305"/>
    </row>
    <row r="20" spans="2:6" ht="13.5" thickBot="1">
      <c r="B20" s="108" t="s">
        <v>8</v>
      </c>
      <c r="C20" s="69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972177.88</v>
      </c>
      <c r="E21" s="148">
        <f>E11-E17</f>
        <v>1098325.0599999998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69"/>
      <c r="D23" s="369"/>
      <c r="E23" s="369"/>
    </row>
    <row r="24" spans="2:6" ht="18" customHeight="1" thickBot="1">
      <c r="B24" s="360" t="s">
        <v>105</v>
      </c>
      <c r="C24" s="370"/>
      <c r="D24" s="370"/>
      <c r="E24" s="370"/>
    </row>
    <row r="25" spans="2:6" ht="13.5" thickBot="1">
      <c r="B25" s="86"/>
      <c r="C25" s="5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706738.19</v>
      </c>
      <c r="E26" s="231">
        <f>D21</f>
        <v>972177.88</v>
      </c>
    </row>
    <row r="27" spans="2:6">
      <c r="B27" s="9" t="s">
        <v>17</v>
      </c>
      <c r="C27" s="10" t="s">
        <v>111</v>
      </c>
      <c r="D27" s="202">
        <v>299228.01</v>
      </c>
      <c r="E27" s="224">
        <f>E28-E32</f>
        <v>69871.749999999942</v>
      </c>
      <c r="F27" s="71"/>
    </row>
    <row r="28" spans="2:6">
      <c r="B28" s="9" t="s">
        <v>18</v>
      </c>
      <c r="C28" s="10" t="s">
        <v>19</v>
      </c>
      <c r="D28" s="202">
        <v>487867.01</v>
      </c>
      <c r="E28" s="225">
        <v>335784.8</v>
      </c>
      <c r="F28" s="71"/>
    </row>
    <row r="29" spans="2:6">
      <c r="B29" s="104" t="s">
        <v>4</v>
      </c>
      <c r="C29" s="6" t="s">
        <v>20</v>
      </c>
      <c r="D29" s="203">
        <v>484153.24</v>
      </c>
      <c r="E29" s="226">
        <v>333363.40000000002</v>
      </c>
      <c r="F29" s="71"/>
    </row>
    <row r="30" spans="2:6">
      <c r="B30" s="104" t="s">
        <v>6</v>
      </c>
      <c r="C30" s="6" t="s">
        <v>21</v>
      </c>
      <c r="D30" s="203"/>
      <c r="E30" s="226"/>
      <c r="F30" s="71"/>
    </row>
    <row r="31" spans="2:6">
      <c r="B31" s="104" t="s">
        <v>8</v>
      </c>
      <c r="C31" s="6" t="s">
        <v>22</v>
      </c>
      <c r="D31" s="203">
        <v>3713.77</v>
      </c>
      <c r="E31" s="226">
        <v>2421.4</v>
      </c>
      <c r="F31" s="71"/>
    </row>
    <row r="32" spans="2:6">
      <c r="B32" s="92" t="s">
        <v>23</v>
      </c>
      <c r="C32" s="11" t="s">
        <v>24</v>
      </c>
      <c r="D32" s="202">
        <v>188639</v>
      </c>
      <c r="E32" s="225">
        <f>SUM(E33:E39)</f>
        <v>265913.05000000005</v>
      </c>
      <c r="F32" s="71"/>
    </row>
    <row r="33" spans="2:6">
      <c r="B33" s="104" t="s">
        <v>4</v>
      </c>
      <c r="C33" s="6" t="s">
        <v>25</v>
      </c>
      <c r="D33" s="203">
        <v>123139.78</v>
      </c>
      <c r="E33" s="226">
        <f>217755.84+93.87</f>
        <v>217849.71</v>
      </c>
      <c r="F33" s="71"/>
    </row>
    <row r="34" spans="2:6">
      <c r="B34" s="104" t="s">
        <v>6</v>
      </c>
      <c r="C34" s="6" t="s">
        <v>26</v>
      </c>
      <c r="D34" s="203"/>
      <c r="E34" s="226"/>
      <c r="F34" s="71"/>
    </row>
    <row r="35" spans="2:6">
      <c r="B35" s="104" t="s">
        <v>8</v>
      </c>
      <c r="C35" s="6" t="s">
        <v>27</v>
      </c>
      <c r="D35" s="203">
        <v>23249.68</v>
      </c>
      <c r="E35" s="226">
        <v>23116.26</v>
      </c>
      <c r="F35" s="71"/>
    </row>
    <row r="36" spans="2:6">
      <c r="B36" s="104" t="s">
        <v>9</v>
      </c>
      <c r="C36" s="6" t="s">
        <v>28</v>
      </c>
      <c r="D36" s="203"/>
      <c r="E36" s="226"/>
      <c r="F36" s="71"/>
    </row>
    <row r="37" spans="2:6" ht="25.5">
      <c r="B37" s="104" t="s">
        <v>29</v>
      </c>
      <c r="C37" s="6" t="s">
        <v>30</v>
      </c>
      <c r="D37" s="203"/>
      <c r="E37" s="226"/>
      <c r="F37" s="71"/>
    </row>
    <row r="38" spans="2:6">
      <c r="B38" s="104" t="s">
        <v>31</v>
      </c>
      <c r="C38" s="6" t="s">
        <v>32</v>
      </c>
      <c r="D38" s="203"/>
      <c r="E38" s="226"/>
      <c r="F38" s="71"/>
    </row>
    <row r="39" spans="2:6">
      <c r="B39" s="105" t="s">
        <v>33</v>
      </c>
      <c r="C39" s="12" t="s">
        <v>34</v>
      </c>
      <c r="D39" s="204">
        <v>42249.54</v>
      </c>
      <c r="E39" s="227">
        <v>24947.080000000075</v>
      </c>
      <c r="F39" s="71"/>
    </row>
    <row r="40" spans="2:6" ht="13.5" thickBot="1">
      <c r="B40" s="97" t="s">
        <v>35</v>
      </c>
      <c r="C40" s="98" t="s">
        <v>36</v>
      </c>
      <c r="D40" s="205">
        <v>-33788.32</v>
      </c>
      <c r="E40" s="232">
        <v>56275.43</v>
      </c>
    </row>
    <row r="41" spans="2:6" ht="13.5" thickBot="1">
      <c r="B41" s="99" t="s">
        <v>37</v>
      </c>
      <c r="C41" s="100" t="s">
        <v>38</v>
      </c>
      <c r="D41" s="206">
        <v>972177.88</v>
      </c>
      <c r="E41" s="148">
        <f>E26+E27+E40</f>
        <v>1098325.0599999998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63"/>
      <c r="D43" s="363"/>
      <c r="E43" s="363"/>
    </row>
    <row r="44" spans="2:6" ht="15.75" customHeight="1" thickBot="1">
      <c r="B44" s="360" t="s">
        <v>121</v>
      </c>
      <c r="C44" s="364"/>
      <c r="D44" s="364"/>
      <c r="E44" s="364"/>
    </row>
    <row r="45" spans="2:6" ht="13.5" thickBot="1">
      <c r="B45" s="86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7">
        <v>68120.478900000002</v>
      </c>
      <c r="E47" s="73">
        <v>97575.417050000004</v>
      </c>
    </row>
    <row r="48" spans="2:6">
      <c r="B48" s="123" t="s">
        <v>6</v>
      </c>
      <c r="C48" s="22" t="s">
        <v>41</v>
      </c>
      <c r="D48" s="207">
        <v>97575.417050000004</v>
      </c>
      <c r="E48" s="272">
        <v>104430.24140000001</v>
      </c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02" t="s">
        <v>4</v>
      </c>
      <c r="C50" s="15" t="s">
        <v>40</v>
      </c>
      <c r="D50" s="207">
        <v>10.374827080678999</v>
      </c>
      <c r="E50" s="73">
        <v>9.9633484477478191</v>
      </c>
    </row>
    <row r="51" spans="2:5">
      <c r="B51" s="102" t="s">
        <v>6</v>
      </c>
      <c r="C51" s="15" t="s">
        <v>114</v>
      </c>
      <c r="D51" s="207">
        <v>9.9580000000000002</v>
      </c>
      <c r="E51" s="75">
        <v>9.9633000000000003</v>
      </c>
    </row>
    <row r="52" spans="2:5" ht="12" customHeight="1">
      <c r="B52" s="102" t="s">
        <v>8</v>
      </c>
      <c r="C52" s="15" t="s">
        <v>115</v>
      </c>
      <c r="D52" s="207">
        <v>10.4094</v>
      </c>
      <c r="E52" s="75">
        <v>10.517300000000001</v>
      </c>
    </row>
    <row r="53" spans="2:5" ht="13.5" thickBot="1">
      <c r="B53" s="103" t="s">
        <v>9</v>
      </c>
      <c r="C53" s="17" t="s">
        <v>41</v>
      </c>
      <c r="D53" s="209">
        <v>9.9633484477478191</v>
      </c>
      <c r="E53" s="233">
        <v>10.517300000000001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5.7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SUM(D59:D70)</f>
        <v>1098820.5899999999</v>
      </c>
      <c r="E58" s="31">
        <f>D58/E21</f>
        <v>1.0004511688006099</v>
      </c>
    </row>
    <row r="59" spans="2:5" ht="25.5">
      <c r="B59" s="21" t="s">
        <v>4</v>
      </c>
      <c r="C59" s="22" t="s">
        <v>44</v>
      </c>
      <c r="D59" s="80">
        <v>0</v>
      </c>
      <c r="E59" s="81">
        <v>0</v>
      </c>
    </row>
    <row r="60" spans="2:5" ht="24" customHeight="1">
      <c r="B60" s="14" t="s">
        <v>6</v>
      </c>
      <c r="C60" s="15" t="s">
        <v>45</v>
      </c>
      <c r="D60" s="78">
        <v>0</v>
      </c>
      <c r="E60" s="79">
        <v>0</v>
      </c>
    </row>
    <row r="61" spans="2:5">
      <c r="B61" s="14" t="s">
        <v>8</v>
      </c>
      <c r="C61" s="15" t="s">
        <v>46</v>
      </c>
      <c r="D61" s="78">
        <v>0</v>
      </c>
      <c r="E61" s="79">
        <v>0</v>
      </c>
    </row>
    <row r="62" spans="2:5">
      <c r="B62" s="14" t="s">
        <v>9</v>
      </c>
      <c r="C62" s="15" t="s">
        <v>47</v>
      </c>
      <c r="D62" s="78">
        <v>0</v>
      </c>
      <c r="E62" s="79">
        <v>0</v>
      </c>
    </row>
    <row r="63" spans="2:5">
      <c r="B63" s="14" t="s">
        <v>29</v>
      </c>
      <c r="C63" s="15" t="s">
        <v>48</v>
      </c>
      <c r="D63" s="78">
        <v>0</v>
      </c>
      <c r="E63" s="79">
        <v>0</v>
      </c>
    </row>
    <row r="64" spans="2:5">
      <c r="B64" s="21" t="s">
        <v>31</v>
      </c>
      <c r="C64" s="22" t="s">
        <v>49</v>
      </c>
      <c r="D64" s="269">
        <f>1069343.31-580.6</f>
        <v>1068762.71</v>
      </c>
      <c r="E64" s="81">
        <f>D64/E21</f>
        <v>0.97308415233646783</v>
      </c>
    </row>
    <row r="65" spans="2:5">
      <c r="B65" s="21" t="s">
        <v>33</v>
      </c>
      <c r="C65" s="22" t="s">
        <v>118</v>
      </c>
      <c r="D65" s="80">
        <v>0</v>
      </c>
      <c r="E65" s="81">
        <v>0</v>
      </c>
    </row>
    <row r="66" spans="2:5">
      <c r="B66" s="21" t="s">
        <v>50</v>
      </c>
      <c r="C66" s="22" t="s">
        <v>51</v>
      </c>
      <c r="D66" s="80">
        <v>0</v>
      </c>
      <c r="E66" s="81">
        <v>0</v>
      </c>
    </row>
    <row r="67" spans="2:5">
      <c r="B67" s="14" t="s">
        <v>52</v>
      </c>
      <c r="C67" s="15" t="s">
        <v>53</v>
      </c>
      <c r="D67" s="78">
        <v>0</v>
      </c>
      <c r="E67" s="79">
        <v>0</v>
      </c>
    </row>
    <row r="68" spans="2:5">
      <c r="B68" s="14" t="s">
        <v>54</v>
      </c>
      <c r="C68" s="15" t="s">
        <v>55</v>
      </c>
      <c r="D68" s="78">
        <v>0</v>
      </c>
      <c r="E68" s="79">
        <v>0</v>
      </c>
    </row>
    <row r="69" spans="2:5">
      <c r="B69" s="14" t="s">
        <v>56</v>
      </c>
      <c r="C69" s="15" t="s">
        <v>57</v>
      </c>
      <c r="D69" s="286">
        <v>30057.88</v>
      </c>
      <c r="E69" s="79">
        <f>D69/E21</f>
        <v>2.7367016464142233E-2</v>
      </c>
    </row>
    <row r="70" spans="2:5">
      <c r="B70" s="112" t="s">
        <v>58</v>
      </c>
      <c r="C70" s="113" t="s">
        <v>59</v>
      </c>
      <c r="D70" s="274">
        <v>0</v>
      </c>
      <c r="E70" s="115">
        <v>0</v>
      </c>
    </row>
    <row r="71" spans="2:5">
      <c r="B71" s="120" t="s">
        <v>23</v>
      </c>
      <c r="C71" s="121" t="s">
        <v>61</v>
      </c>
      <c r="D71" s="122">
        <f>E13</f>
        <v>0</v>
      </c>
      <c r="E71" s="66">
        <v>0</v>
      </c>
    </row>
    <row r="72" spans="2:5">
      <c r="B72" s="116" t="s">
        <v>60</v>
      </c>
      <c r="C72" s="117" t="s">
        <v>63</v>
      </c>
      <c r="D72" s="118">
        <f>E14</f>
        <v>886.45</v>
      </c>
      <c r="E72" s="119">
        <f>D72/E21</f>
        <v>8.0709257421477775E-4</v>
      </c>
    </row>
    <row r="73" spans="2:5">
      <c r="B73" s="23" t="s">
        <v>62</v>
      </c>
      <c r="C73" s="24" t="s">
        <v>65</v>
      </c>
      <c r="D73" s="25">
        <f>E17</f>
        <v>1381.98</v>
      </c>
      <c r="E73" s="26">
        <f>D73/E21</f>
        <v>1.2582613748246809E-3</v>
      </c>
    </row>
    <row r="74" spans="2:5">
      <c r="B74" s="120" t="s">
        <v>64</v>
      </c>
      <c r="C74" s="121" t="s">
        <v>66</v>
      </c>
      <c r="D74" s="122">
        <f>D58+D71+D72-D73</f>
        <v>1098325.0599999998</v>
      </c>
      <c r="E74" s="66">
        <f>E58+E72-E73</f>
        <v>1</v>
      </c>
    </row>
    <row r="75" spans="2:5">
      <c r="B75" s="14" t="s">
        <v>4</v>
      </c>
      <c r="C75" s="15" t="s">
        <v>67</v>
      </c>
      <c r="D75" s="78">
        <f>D74</f>
        <v>1098325.0599999998</v>
      </c>
      <c r="E75" s="79">
        <f>E74</f>
        <v>1</v>
      </c>
    </row>
    <row r="76" spans="2:5">
      <c r="B76" s="14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6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18"/>
      <c r="E78" s="218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9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41"/>
      <c r="C4" s="141"/>
      <c r="D4" s="141"/>
      <c r="E4" s="141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213</v>
      </c>
      <c r="C6" s="359"/>
      <c r="D6" s="359"/>
      <c r="E6" s="359"/>
    </row>
    <row r="7" spans="2:7" ht="14.25">
      <c r="B7" s="139"/>
      <c r="C7" s="139"/>
      <c r="D7" s="139"/>
      <c r="E7" s="139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40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342366.49</v>
      </c>
      <c r="E11" s="244">
        <f>SUM(E12:E14)</f>
        <v>858890.75</v>
      </c>
    </row>
    <row r="12" spans="2:7">
      <c r="B12" s="174" t="s">
        <v>4</v>
      </c>
      <c r="C12" s="175" t="s">
        <v>5</v>
      </c>
      <c r="D12" s="283">
        <v>342366.49</v>
      </c>
      <c r="E12" s="304">
        <v>858890.75</v>
      </c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342366.49</v>
      </c>
      <c r="E21" s="148">
        <f>E11-E17</f>
        <v>858890.75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239155.88</v>
      </c>
      <c r="E26" s="231">
        <f>D21</f>
        <v>342366.49</v>
      </c>
    </row>
    <row r="27" spans="2:6">
      <c r="B27" s="9" t="s">
        <v>17</v>
      </c>
      <c r="C27" s="10" t="s">
        <v>111</v>
      </c>
      <c r="D27" s="202">
        <v>128218.31000000001</v>
      </c>
      <c r="E27" s="224">
        <v>458000.12</v>
      </c>
      <c r="F27" s="71"/>
    </row>
    <row r="28" spans="2:6">
      <c r="B28" s="9" t="s">
        <v>18</v>
      </c>
      <c r="C28" s="10" t="s">
        <v>19</v>
      </c>
      <c r="D28" s="202">
        <v>200031.23</v>
      </c>
      <c r="E28" s="225">
        <v>487420.2</v>
      </c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>
        <v>200031.23</v>
      </c>
      <c r="E31" s="226">
        <v>487420.2</v>
      </c>
      <c r="F31" s="71"/>
    </row>
    <row r="32" spans="2:6">
      <c r="B32" s="92" t="s">
        <v>23</v>
      </c>
      <c r="C32" s="11" t="s">
        <v>24</v>
      </c>
      <c r="D32" s="202">
        <v>71812.92</v>
      </c>
      <c r="E32" s="225">
        <v>29420.080000000002</v>
      </c>
      <c r="F32" s="71"/>
    </row>
    <row r="33" spans="2:6">
      <c r="B33" s="182" t="s">
        <v>4</v>
      </c>
      <c r="C33" s="175" t="s">
        <v>25</v>
      </c>
      <c r="D33" s="203">
        <v>65218.86</v>
      </c>
      <c r="E33" s="226">
        <v>22663.54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872.14</v>
      </c>
      <c r="E35" s="226">
        <v>981.21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5721.92</v>
      </c>
      <c r="E37" s="226">
        <v>5775.33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/>
      <c r="E39" s="227"/>
      <c r="F39" s="71"/>
    </row>
    <row r="40" spans="2:6" ht="13.5" thickBot="1">
      <c r="B40" s="97" t="s">
        <v>35</v>
      </c>
      <c r="C40" s="98" t="s">
        <v>36</v>
      </c>
      <c r="D40" s="205">
        <v>-25007.7</v>
      </c>
      <c r="E40" s="232">
        <v>58524.14</v>
      </c>
    </row>
    <row r="41" spans="2:6" ht="13.5" thickBot="1">
      <c r="B41" s="99" t="s">
        <v>37</v>
      </c>
      <c r="C41" s="100" t="s">
        <v>38</v>
      </c>
      <c r="D41" s="206">
        <v>342366.49</v>
      </c>
      <c r="E41" s="148">
        <f>E26+E27+E40</f>
        <v>858890.75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12183.183000000001</v>
      </c>
      <c r="E47" s="149">
        <v>18506.296999999999</v>
      </c>
    </row>
    <row r="48" spans="2:6">
      <c r="B48" s="187" t="s">
        <v>6</v>
      </c>
      <c r="C48" s="188" t="s">
        <v>41</v>
      </c>
      <c r="D48" s="207">
        <v>18506.296999999999</v>
      </c>
      <c r="E48" s="149">
        <v>40210.241000000002</v>
      </c>
    </row>
    <row r="49" spans="2:5">
      <c r="B49" s="120" t="s">
        <v>23</v>
      </c>
      <c r="C49" s="124" t="s">
        <v>113</v>
      </c>
      <c r="D49" s="208"/>
      <c r="E49" s="149"/>
    </row>
    <row r="50" spans="2:5">
      <c r="B50" s="185" t="s">
        <v>4</v>
      </c>
      <c r="C50" s="186" t="s">
        <v>40</v>
      </c>
      <c r="D50" s="207">
        <v>19.63</v>
      </c>
      <c r="E50" s="149">
        <v>18.5</v>
      </c>
    </row>
    <row r="51" spans="2:5">
      <c r="B51" s="185" t="s">
        <v>6</v>
      </c>
      <c r="C51" s="186" t="s">
        <v>114</v>
      </c>
      <c r="D51" s="207">
        <v>18.399999999999999</v>
      </c>
      <c r="E51" s="75">
        <v>18.490000000000002</v>
      </c>
    </row>
    <row r="52" spans="2:5">
      <c r="B52" s="185" t="s">
        <v>8</v>
      </c>
      <c r="C52" s="186" t="s">
        <v>115</v>
      </c>
      <c r="D52" s="207">
        <v>20.059999999999999</v>
      </c>
      <c r="E52" s="75">
        <v>21.59</v>
      </c>
    </row>
    <row r="53" spans="2:5" ht="12.75" customHeight="1" thickBot="1">
      <c r="B53" s="189" t="s">
        <v>9</v>
      </c>
      <c r="C53" s="190" t="s">
        <v>41</v>
      </c>
      <c r="D53" s="209">
        <v>18.5</v>
      </c>
      <c r="E53" s="233">
        <v>21.36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8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858890.75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858890.75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858890.75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858890.75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0"/>
  <dimension ref="A1:F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147"/>
      <c r="C4" s="147"/>
      <c r="D4" s="147"/>
      <c r="E4" s="147"/>
    </row>
    <row r="5" spans="2:5" ht="14.25">
      <c r="B5" s="358" t="s">
        <v>1</v>
      </c>
      <c r="C5" s="358"/>
      <c r="D5" s="358"/>
      <c r="E5" s="358"/>
    </row>
    <row r="6" spans="2:5" ht="14.25">
      <c r="B6" s="359" t="s">
        <v>214</v>
      </c>
      <c r="C6" s="359"/>
      <c r="D6" s="359"/>
      <c r="E6" s="359"/>
    </row>
    <row r="7" spans="2:5" ht="14.25">
      <c r="B7" s="165"/>
      <c r="C7" s="165"/>
      <c r="D7" s="165"/>
      <c r="E7" s="165"/>
    </row>
    <row r="8" spans="2:5" ht="13.5">
      <c r="B8" s="361" t="s">
        <v>18</v>
      </c>
      <c r="C8" s="363"/>
      <c r="D8" s="363"/>
      <c r="E8" s="363"/>
    </row>
    <row r="9" spans="2:5" ht="16.5" thickBot="1">
      <c r="B9" s="360" t="s">
        <v>103</v>
      </c>
      <c r="C9" s="360"/>
      <c r="D9" s="360"/>
      <c r="E9" s="360"/>
    </row>
    <row r="10" spans="2:5" ht="13.5" thickBot="1">
      <c r="B10" s="166"/>
      <c r="C10" s="76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28" t="s">
        <v>109</v>
      </c>
      <c r="D11" s="243">
        <v>1390286.91</v>
      </c>
      <c r="E11" s="244">
        <f>SUM(E12:E14)</f>
        <v>1707497.05</v>
      </c>
    </row>
    <row r="12" spans="2:5">
      <c r="B12" s="174" t="s">
        <v>4</v>
      </c>
      <c r="C12" s="175" t="s">
        <v>5</v>
      </c>
      <c r="D12" s="283">
        <v>1390286.91</v>
      </c>
      <c r="E12" s="304">
        <v>1707497.05</v>
      </c>
    </row>
    <row r="13" spans="2:5">
      <c r="B13" s="174" t="s">
        <v>6</v>
      </c>
      <c r="C13" s="176" t="s">
        <v>7</v>
      </c>
      <c r="D13" s="276"/>
      <c r="E13" s="305"/>
    </row>
    <row r="14" spans="2:5">
      <c r="B14" s="174" t="s">
        <v>8</v>
      </c>
      <c r="C14" s="176" t="s">
        <v>10</v>
      </c>
      <c r="D14" s="276"/>
      <c r="E14" s="305"/>
    </row>
    <row r="15" spans="2:5">
      <c r="B15" s="174" t="s">
        <v>106</v>
      </c>
      <c r="C15" s="176" t="s">
        <v>11</v>
      </c>
      <c r="D15" s="276"/>
      <c r="E15" s="305"/>
    </row>
    <row r="16" spans="2:5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1390286.91</v>
      </c>
      <c r="E21" s="148">
        <f>E11-E17</f>
        <v>1707497.05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1524917.53</v>
      </c>
      <c r="E26" s="231">
        <f>D21</f>
        <v>1390286.91</v>
      </c>
    </row>
    <row r="27" spans="2:6">
      <c r="B27" s="9" t="s">
        <v>17</v>
      </c>
      <c r="C27" s="10" t="s">
        <v>111</v>
      </c>
      <c r="D27" s="202">
        <v>173899.74000000002</v>
      </c>
      <c r="E27" s="224">
        <v>-26306.17</v>
      </c>
      <c r="F27" s="71"/>
    </row>
    <row r="28" spans="2:6">
      <c r="B28" s="9" t="s">
        <v>18</v>
      </c>
      <c r="C28" s="10" t="s">
        <v>19</v>
      </c>
      <c r="D28" s="202">
        <v>200031.2</v>
      </c>
      <c r="E28" s="225">
        <v>0</v>
      </c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>
        <v>200031.2</v>
      </c>
      <c r="E31" s="226"/>
      <c r="F31" s="71"/>
    </row>
    <row r="32" spans="2:6">
      <c r="B32" s="92" t="s">
        <v>23</v>
      </c>
      <c r="C32" s="11" t="s">
        <v>24</v>
      </c>
      <c r="D32" s="202">
        <v>26131.46</v>
      </c>
      <c r="E32" s="225">
        <v>26306.17</v>
      </c>
      <c r="F32" s="71"/>
    </row>
    <row r="33" spans="2:6">
      <c r="B33" s="182" t="s">
        <v>4</v>
      </c>
      <c r="C33" s="175" t="s">
        <v>25</v>
      </c>
      <c r="D33" s="203"/>
      <c r="E33" s="226"/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397.92</v>
      </c>
      <c r="E35" s="226">
        <v>1031.3399999999999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25733.54</v>
      </c>
      <c r="E37" s="226">
        <v>25274.83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/>
      <c r="E39" s="227"/>
      <c r="F39" s="71"/>
    </row>
    <row r="40" spans="2:6" ht="13.5" thickBot="1">
      <c r="B40" s="97" t="s">
        <v>35</v>
      </c>
      <c r="C40" s="98" t="s">
        <v>36</v>
      </c>
      <c r="D40" s="205">
        <v>-308530.36</v>
      </c>
      <c r="E40" s="232">
        <v>343516.31</v>
      </c>
    </row>
    <row r="41" spans="2:6" ht="13.5" thickBot="1">
      <c r="B41" s="99" t="s">
        <v>37</v>
      </c>
      <c r="C41" s="100" t="s">
        <v>38</v>
      </c>
      <c r="D41" s="206">
        <v>1390286.9100000001</v>
      </c>
      <c r="E41" s="148">
        <f>E26+E27+E40</f>
        <v>1707497.05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121798.52499999999</v>
      </c>
      <c r="E47" s="149">
        <v>135110.48699999999</v>
      </c>
    </row>
    <row r="48" spans="2:6">
      <c r="B48" s="187" t="s">
        <v>6</v>
      </c>
      <c r="C48" s="188" t="s">
        <v>41</v>
      </c>
      <c r="D48" s="207">
        <v>135110.48699999999</v>
      </c>
      <c r="E48" s="149">
        <v>132879.14799999999</v>
      </c>
    </row>
    <row r="49" spans="2:5">
      <c r="B49" s="120" t="s">
        <v>23</v>
      </c>
      <c r="C49" s="124" t="s">
        <v>113</v>
      </c>
      <c r="D49" s="208"/>
      <c r="E49" s="149"/>
    </row>
    <row r="50" spans="2:5">
      <c r="B50" s="185" t="s">
        <v>4</v>
      </c>
      <c r="C50" s="186" t="s">
        <v>40</v>
      </c>
      <c r="D50" s="207">
        <v>12.52</v>
      </c>
      <c r="E50" s="149">
        <v>10.29</v>
      </c>
    </row>
    <row r="51" spans="2:5">
      <c r="B51" s="185" t="s">
        <v>6</v>
      </c>
      <c r="C51" s="186" t="s">
        <v>114</v>
      </c>
      <c r="D51" s="207">
        <v>10.220000000000001</v>
      </c>
      <c r="E51" s="75">
        <v>10.29</v>
      </c>
    </row>
    <row r="52" spans="2:5">
      <c r="B52" s="185" t="s">
        <v>8</v>
      </c>
      <c r="C52" s="186" t="s">
        <v>115</v>
      </c>
      <c r="D52" s="207">
        <v>13.06</v>
      </c>
      <c r="E52" s="75">
        <v>12.87</v>
      </c>
    </row>
    <row r="53" spans="2:5" ht="13.5" thickBot="1">
      <c r="B53" s="189" t="s">
        <v>9</v>
      </c>
      <c r="C53" s="190" t="s">
        <v>41</v>
      </c>
      <c r="D53" s="209">
        <v>10.29</v>
      </c>
      <c r="E53" s="233">
        <v>12.85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4.25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1707497.05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1707497.05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1707497.05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1707497.05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1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47"/>
      <c r="C4" s="147"/>
      <c r="D4" s="147"/>
      <c r="E4" s="147"/>
    </row>
    <row r="5" spans="2:7" ht="14.25">
      <c r="B5" s="358" t="s">
        <v>1</v>
      </c>
      <c r="C5" s="358"/>
      <c r="D5" s="358"/>
      <c r="E5" s="358"/>
    </row>
    <row r="6" spans="2:7" ht="14.25">
      <c r="B6" s="359" t="s">
        <v>215</v>
      </c>
      <c r="C6" s="359"/>
      <c r="D6" s="359"/>
      <c r="E6" s="359"/>
    </row>
    <row r="7" spans="2:7" ht="14.25">
      <c r="B7" s="198"/>
      <c r="C7" s="198"/>
      <c r="D7" s="198"/>
      <c r="E7" s="198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99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1286523.32</v>
      </c>
      <c r="E11" s="244">
        <f>SUM(E12:E14)</f>
        <v>1389309.54</v>
      </c>
    </row>
    <row r="12" spans="2:7">
      <c r="B12" s="174" t="s">
        <v>4</v>
      </c>
      <c r="C12" s="175" t="s">
        <v>5</v>
      </c>
      <c r="D12" s="283">
        <v>1286523.32</v>
      </c>
      <c r="E12" s="304">
        <v>1389309.54</v>
      </c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1286523.32</v>
      </c>
      <c r="E21" s="148">
        <f>E11-E17</f>
        <v>1389309.54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1373697.16</v>
      </c>
      <c r="E26" s="231">
        <f>D21</f>
        <v>1286523.32</v>
      </c>
    </row>
    <row r="27" spans="2:6">
      <c r="B27" s="9" t="s">
        <v>17</v>
      </c>
      <c r="C27" s="10" t="s">
        <v>111</v>
      </c>
      <c r="D27" s="202">
        <v>-1339</v>
      </c>
      <c r="E27" s="224">
        <v>-22581.030000000002</v>
      </c>
      <c r="F27" s="71"/>
    </row>
    <row r="28" spans="2:6">
      <c r="B28" s="9" t="s">
        <v>18</v>
      </c>
      <c r="C28" s="10" t="s">
        <v>19</v>
      </c>
      <c r="D28" s="202">
        <v>200031.28</v>
      </c>
      <c r="E28" s="225">
        <v>0</v>
      </c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>
        <v>200031.28</v>
      </c>
      <c r="E31" s="226"/>
      <c r="F31" s="71"/>
    </row>
    <row r="32" spans="2:6">
      <c r="B32" s="92" t="s">
        <v>23</v>
      </c>
      <c r="C32" s="11" t="s">
        <v>24</v>
      </c>
      <c r="D32" s="202">
        <v>201370.28</v>
      </c>
      <c r="E32" s="225">
        <v>22581.030000000002</v>
      </c>
      <c r="F32" s="71"/>
    </row>
    <row r="33" spans="2:6">
      <c r="B33" s="182" t="s">
        <v>4</v>
      </c>
      <c r="C33" s="175" t="s">
        <v>25</v>
      </c>
      <c r="D33" s="203">
        <v>178327.17</v>
      </c>
      <c r="E33" s="226"/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304.55</v>
      </c>
      <c r="E35" s="226">
        <v>848.9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22738.560000000001</v>
      </c>
      <c r="E37" s="226">
        <v>21732.13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/>
      <c r="E39" s="227"/>
      <c r="F39" s="71"/>
    </row>
    <row r="40" spans="2:6" ht="13.5" thickBot="1">
      <c r="B40" s="97" t="s">
        <v>35</v>
      </c>
      <c r="C40" s="98" t="s">
        <v>36</v>
      </c>
      <c r="D40" s="205">
        <v>-85834.84</v>
      </c>
      <c r="E40" s="232">
        <v>125367.25</v>
      </c>
    </row>
    <row r="41" spans="2:6" ht="13.5" thickBot="1">
      <c r="B41" s="99" t="s">
        <v>37</v>
      </c>
      <c r="C41" s="100" t="s">
        <v>38</v>
      </c>
      <c r="D41" s="206">
        <v>1286523.3199999998</v>
      </c>
      <c r="E41" s="148">
        <f>E26+E27+E40</f>
        <v>1389309.54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117410.014</v>
      </c>
      <c r="E47" s="149">
        <v>116744.40300000001</v>
      </c>
    </row>
    <row r="48" spans="2:6">
      <c r="B48" s="187" t="s">
        <v>6</v>
      </c>
      <c r="C48" s="188" t="s">
        <v>41</v>
      </c>
      <c r="D48" s="207">
        <v>116744.40300000001</v>
      </c>
      <c r="E48" s="149">
        <v>114818.97</v>
      </c>
    </row>
    <row r="49" spans="2:5">
      <c r="B49" s="120" t="s">
        <v>23</v>
      </c>
      <c r="C49" s="124" t="s">
        <v>113</v>
      </c>
      <c r="D49" s="208"/>
      <c r="E49" s="149"/>
    </row>
    <row r="50" spans="2:5">
      <c r="B50" s="185" t="s">
        <v>4</v>
      </c>
      <c r="C50" s="186" t="s">
        <v>40</v>
      </c>
      <c r="D50" s="207">
        <v>11.7</v>
      </c>
      <c r="E50" s="149">
        <v>11.02</v>
      </c>
    </row>
    <row r="51" spans="2:5">
      <c r="B51" s="185" t="s">
        <v>6</v>
      </c>
      <c r="C51" s="186" t="s">
        <v>114</v>
      </c>
      <c r="D51" s="207">
        <v>10.99</v>
      </c>
      <c r="E51" s="75">
        <v>11.01</v>
      </c>
    </row>
    <row r="52" spans="2:5">
      <c r="B52" s="185" t="s">
        <v>8</v>
      </c>
      <c r="C52" s="186" t="s">
        <v>115</v>
      </c>
      <c r="D52" s="207">
        <v>11.81</v>
      </c>
      <c r="E52" s="75">
        <v>12.11</v>
      </c>
    </row>
    <row r="53" spans="2:5" ht="13.5" thickBot="1">
      <c r="B53" s="189" t="s">
        <v>9</v>
      </c>
      <c r="C53" s="190" t="s">
        <v>41</v>
      </c>
      <c r="D53" s="209">
        <v>11.02</v>
      </c>
      <c r="E53" s="233">
        <v>12.1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4.25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1389309.54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1389309.54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1389309.54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1389309.54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2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41"/>
      <c r="C4" s="141"/>
      <c r="D4" s="141"/>
      <c r="E4" s="141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216</v>
      </c>
      <c r="C6" s="359"/>
      <c r="D6" s="359"/>
      <c r="E6" s="359"/>
    </row>
    <row r="7" spans="2:7" ht="14.25">
      <c r="B7" s="139"/>
      <c r="C7" s="139"/>
      <c r="D7" s="139"/>
      <c r="E7" s="139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40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4881.57</v>
      </c>
      <c r="E11" s="244">
        <f>SUM(E12:E14)</f>
        <v>117066.88</v>
      </c>
    </row>
    <row r="12" spans="2:7">
      <c r="B12" s="174" t="s">
        <v>4</v>
      </c>
      <c r="C12" s="175" t="s">
        <v>5</v>
      </c>
      <c r="D12" s="283">
        <v>4881.57</v>
      </c>
      <c r="E12" s="304">
        <f>118082.52-1015.64</f>
        <v>117066.88</v>
      </c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4881.57</v>
      </c>
      <c r="E21" s="148">
        <f>E11-E17</f>
        <v>117066.88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19781.22</v>
      </c>
      <c r="E26" s="231">
        <f>D21</f>
        <v>4881.57</v>
      </c>
    </row>
    <row r="27" spans="2:6">
      <c r="B27" s="9" t="s">
        <v>17</v>
      </c>
      <c r="C27" s="10" t="s">
        <v>111</v>
      </c>
      <c r="D27" s="202">
        <v>-12720.260000000002</v>
      </c>
      <c r="E27" s="224">
        <f>E28-E32</f>
        <v>108524.17000000001</v>
      </c>
      <c r="F27" s="71"/>
    </row>
    <row r="28" spans="2:6">
      <c r="B28" s="9" t="s">
        <v>18</v>
      </c>
      <c r="C28" s="10" t="s">
        <v>19</v>
      </c>
      <c r="D28" s="202">
        <v>3922.14</v>
      </c>
      <c r="E28" s="225">
        <v>223840.77</v>
      </c>
      <c r="F28" s="71"/>
    </row>
    <row r="29" spans="2:6">
      <c r="B29" s="182" t="s">
        <v>4</v>
      </c>
      <c r="C29" s="175" t="s">
        <v>20</v>
      </c>
      <c r="D29" s="203">
        <v>2009.3</v>
      </c>
      <c r="E29" s="226">
        <v>730.11</v>
      </c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>
        <v>1912.84</v>
      </c>
      <c r="E31" s="226">
        <v>223110.66</v>
      </c>
      <c r="F31" s="71"/>
    </row>
    <row r="32" spans="2:6">
      <c r="B32" s="92" t="s">
        <v>23</v>
      </c>
      <c r="C32" s="11" t="s">
        <v>24</v>
      </c>
      <c r="D32" s="202">
        <v>16642.400000000001</v>
      </c>
      <c r="E32" s="225">
        <f>SUM(E33:E39)</f>
        <v>115316.59999999998</v>
      </c>
      <c r="F32" s="71"/>
    </row>
    <row r="33" spans="2:6">
      <c r="B33" s="182" t="s">
        <v>4</v>
      </c>
      <c r="C33" s="175" t="s">
        <v>25</v>
      </c>
      <c r="D33" s="203">
        <v>179.48</v>
      </c>
      <c r="E33" s="226">
        <f>2383.65+1015.64</f>
        <v>3399.29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235.69</v>
      </c>
      <c r="E35" s="226">
        <v>174.17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177.48</v>
      </c>
      <c r="E37" s="226">
        <v>214.58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>
        <v>16049.75</v>
      </c>
      <c r="E39" s="227">
        <v>111528.55999999998</v>
      </c>
      <c r="F39" s="71"/>
    </row>
    <row r="40" spans="2:6" ht="13.5" thickBot="1">
      <c r="B40" s="97" t="s">
        <v>35</v>
      </c>
      <c r="C40" s="98" t="s">
        <v>36</v>
      </c>
      <c r="D40" s="205">
        <v>-2179.39</v>
      </c>
      <c r="E40" s="232">
        <v>3661.14</v>
      </c>
    </row>
    <row r="41" spans="2:6" ht="13.5" thickBot="1">
      <c r="B41" s="99" t="s">
        <v>37</v>
      </c>
      <c r="C41" s="100" t="s">
        <v>38</v>
      </c>
      <c r="D41" s="206">
        <v>4881.57</v>
      </c>
      <c r="E41" s="148">
        <f>E26+E27+E40</f>
        <v>117066.88000000002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168.99799999999999</v>
      </c>
      <c r="E47" s="149">
        <v>50.686</v>
      </c>
    </row>
    <row r="48" spans="2:6">
      <c r="B48" s="187" t="s">
        <v>6</v>
      </c>
      <c r="C48" s="188" t="s">
        <v>41</v>
      </c>
      <c r="D48" s="207">
        <v>50.686</v>
      </c>
      <c r="E48" s="149">
        <v>1015.9410000000001</v>
      </c>
    </row>
    <row r="49" spans="2:5">
      <c r="B49" s="120" t="s">
        <v>23</v>
      </c>
      <c r="C49" s="124" t="s">
        <v>113</v>
      </c>
      <c r="D49" s="208"/>
      <c r="E49" s="149"/>
    </row>
    <row r="50" spans="2:5">
      <c r="B50" s="185" t="s">
        <v>4</v>
      </c>
      <c r="C50" s="186" t="s">
        <v>40</v>
      </c>
      <c r="D50" s="207">
        <v>117.05</v>
      </c>
      <c r="E50" s="149">
        <v>96.31</v>
      </c>
    </row>
    <row r="51" spans="2:5">
      <c r="B51" s="185" t="s">
        <v>6</v>
      </c>
      <c r="C51" s="186" t="s">
        <v>114</v>
      </c>
      <c r="D51" s="207">
        <v>95.69</v>
      </c>
      <c r="E51" s="149">
        <v>94.75</v>
      </c>
    </row>
    <row r="52" spans="2:5">
      <c r="B52" s="185" t="s">
        <v>8</v>
      </c>
      <c r="C52" s="186" t="s">
        <v>115</v>
      </c>
      <c r="D52" s="207">
        <v>125.74</v>
      </c>
      <c r="E52" s="75">
        <v>115.74</v>
      </c>
    </row>
    <row r="53" spans="2:5" ht="13.5" customHeight="1" thickBot="1">
      <c r="B53" s="189" t="s">
        <v>9</v>
      </c>
      <c r="C53" s="190" t="s">
        <v>41</v>
      </c>
      <c r="D53" s="209">
        <v>96.31</v>
      </c>
      <c r="E53" s="233">
        <v>115.23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7.2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117066.88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117066.88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117066.88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117066.88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3"/>
  <dimension ref="A1:F81"/>
  <sheetViews>
    <sheetView zoomScale="80" zoomScaleNormal="80" workbookViewId="0">
      <selection activeCell="H38" sqref="H38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141"/>
      <c r="C4" s="141"/>
      <c r="D4" s="141"/>
      <c r="E4" s="141"/>
    </row>
    <row r="5" spans="2:5" ht="21" customHeight="1">
      <c r="B5" s="358" t="s">
        <v>1</v>
      </c>
      <c r="C5" s="358"/>
      <c r="D5" s="358"/>
      <c r="E5" s="358"/>
    </row>
    <row r="6" spans="2:5" ht="14.25">
      <c r="B6" s="359" t="s">
        <v>217</v>
      </c>
      <c r="C6" s="359"/>
      <c r="D6" s="359"/>
      <c r="E6" s="359"/>
    </row>
    <row r="7" spans="2:5" ht="14.25">
      <c r="B7" s="139"/>
      <c r="C7" s="139"/>
      <c r="D7" s="139"/>
      <c r="E7" s="139"/>
    </row>
    <row r="8" spans="2:5" ht="13.5">
      <c r="B8" s="361" t="s">
        <v>18</v>
      </c>
      <c r="C8" s="363"/>
      <c r="D8" s="363"/>
      <c r="E8" s="363"/>
    </row>
    <row r="9" spans="2:5" ht="16.5" thickBot="1">
      <c r="B9" s="360" t="s">
        <v>103</v>
      </c>
      <c r="C9" s="360"/>
      <c r="D9" s="360"/>
      <c r="E9" s="360"/>
    </row>
    <row r="10" spans="2:5" ht="13.5" thickBot="1">
      <c r="B10" s="140"/>
      <c r="C10" s="76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28" t="s">
        <v>109</v>
      </c>
      <c r="D11" s="243">
        <v>532372</v>
      </c>
      <c r="E11" s="244">
        <f>SUM(E12:E14)</f>
        <v>530572.31000000006</v>
      </c>
    </row>
    <row r="12" spans="2:5">
      <c r="B12" s="174" t="s">
        <v>4</v>
      </c>
      <c r="C12" s="175" t="s">
        <v>5</v>
      </c>
      <c r="D12" s="283">
        <v>532372</v>
      </c>
      <c r="E12" s="304">
        <f>532184.4-1612.09</f>
        <v>530572.31000000006</v>
      </c>
    </row>
    <row r="13" spans="2:5">
      <c r="B13" s="174" t="s">
        <v>6</v>
      </c>
      <c r="C13" s="176" t="s">
        <v>7</v>
      </c>
      <c r="D13" s="276"/>
      <c r="E13" s="305"/>
    </row>
    <row r="14" spans="2:5">
      <c r="B14" s="174" t="s">
        <v>8</v>
      </c>
      <c r="C14" s="176" t="s">
        <v>10</v>
      </c>
      <c r="D14" s="276"/>
      <c r="E14" s="305"/>
    </row>
    <row r="15" spans="2:5">
      <c r="B15" s="174" t="s">
        <v>106</v>
      </c>
      <c r="C15" s="176" t="s">
        <v>11</v>
      </c>
      <c r="D15" s="276"/>
      <c r="E15" s="305"/>
    </row>
    <row r="16" spans="2:5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532372</v>
      </c>
      <c r="E21" s="148">
        <f>E11-E17</f>
        <v>530572.31000000006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456609.17</v>
      </c>
      <c r="E26" s="231">
        <f>D21</f>
        <v>532372</v>
      </c>
    </row>
    <row r="27" spans="2:6">
      <c r="B27" s="9" t="s">
        <v>17</v>
      </c>
      <c r="C27" s="10" t="s">
        <v>111</v>
      </c>
      <c r="D27" s="202">
        <v>62321.520000000004</v>
      </c>
      <c r="E27" s="224">
        <f>E28-E32</f>
        <v>-12151.459999999948</v>
      </c>
      <c r="F27" s="71"/>
    </row>
    <row r="28" spans="2:6">
      <c r="B28" s="9" t="s">
        <v>18</v>
      </c>
      <c r="C28" s="10" t="s">
        <v>19</v>
      </c>
      <c r="D28" s="202">
        <v>85698.94</v>
      </c>
      <c r="E28" s="225">
        <v>67177.22</v>
      </c>
      <c r="F28" s="71"/>
    </row>
    <row r="29" spans="2:6">
      <c r="B29" s="182" t="s">
        <v>4</v>
      </c>
      <c r="C29" s="175" t="s">
        <v>20</v>
      </c>
      <c r="D29" s="203">
        <v>33485.58</v>
      </c>
      <c r="E29" s="226">
        <v>36081.57</v>
      </c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>
        <v>52213.36</v>
      </c>
      <c r="E31" s="226">
        <v>31095.65</v>
      </c>
      <c r="F31" s="71"/>
    </row>
    <row r="32" spans="2:6">
      <c r="B32" s="92" t="s">
        <v>23</v>
      </c>
      <c r="C32" s="11" t="s">
        <v>24</v>
      </c>
      <c r="D32" s="202">
        <v>23377.42</v>
      </c>
      <c r="E32" s="225">
        <f>SUM(E33:E39)</f>
        <v>79328.679999999949</v>
      </c>
      <c r="F32" s="71"/>
    </row>
    <row r="33" spans="2:6">
      <c r="B33" s="182" t="s">
        <v>4</v>
      </c>
      <c r="C33" s="175" t="s">
        <v>25</v>
      </c>
      <c r="D33" s="203">
        <v>10487.21</v>
      </c>
      <c r="E33" s="226">
        <f>61564.08+717.27</f>
        <v>62281.35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2948.69</v>
      </c>
      <c r="E35" s="226">
        <v>3205.4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7506.86</v>
      </c>
      <c r="E37" s="226">
        <v>8153.86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>
        <v>2434.66</v>
      </c>
      <c r="E39" s="227">
        <v>5688.0699999999442</v>
      </c>
      <c r="F39" s="71"/>
    </row>
    <row r="40" spans="2:6" ht="13.5" thickBot="1">
      <c r="B40" s="97" t="s">
        <v>35</v>
      </c>
      <c r="C40" s="98" t="s">
        <v>36</v>
      </c>
      <c r="D40" s="205">
        <v>13441.31</v>
      </c>
      <c r="E40" s="232">
        <v>10351.77</v>
      </c>
    </row>
    <row r="41" spans="2:6" ht="13.5" thickBot="1">
      <c r="B41" s="99" t="s">
        <v>37</v>
      </c>
      <c r="C41" s="100" t="s">
        <v>38</v>
      </c>
      <c r="D41" s="206">
        <v>532372</v>
      </c>
      <c r="E41" s="148">
        <f>E26+E27+E40</f>
        <v>530572.31000000006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2186.3020000000001</v>
      </c>
      <c r="E47" s="149">
        <v>2482.7309599999999</v>
      </c>
    </row>
    <row r="48" spans="2:6">
      <c r="B48" s="187" t="s">
        <v>6</v>
      </c>
      <c r="C48" s="188" t="s">
        <v>41</v>
      </c>
      <c r="D48" s="207">
        <v>2482.7309599999999</v>
      </c>
      <c r="E48" s="149">
        <v>2428.5819999999999</v>
      </c>
    </row>
    <row r="49" spans="2:5">
      <c r="B49" s="120" t="s">
        <v>23</v>
      </c>
      <c r="C49" s="124" t="s">
        <v>113</v>
      </c>
      <c r="D49" s="208"/>
      <c r="E49" s="149"/>
    </row>
    <row r="50" spans="2:5">
      <c r="B50" s="185" t="s">
        <v>4</v>
      </c>
      <c r="C50" s="186" t="s">
        <v>40</v>
      </c>
      <c r="D50" s="207">
        <v>208.85</v>
      </c>
      <c r="E50" s="149">
        <v>214.43</v>
      </c>
    </row>
    <row r="51" spans="2:5">
      <c r="B51" s="185" t="s">
        <v>6</v>
      </c>
      <c r="C51" s="186" t="s">
        <v>114</v>
      </c>
      <c r="D51" s="207">
        <v>207.65</v>
      </c>
      <c r="E51" s="149">
        <v>214.09</v>
      </c>
    </row>
    <row r="52" spans="2:5">
      <c r="B52" s="185" t="s">
        <v>8</v>
      </c>
      <c r="C52" s="186" t="s">
        <v>115</v>
      </c>
      <c r="D52" s="207">
        <v>214.43</v>
      </c>
      <c r="E52" s="75">
        <v>219.54</v>
      </c>
    </row>
    <row r="53" spans="2:5" ht="13.5" thickBot="1">
      <c r="B53" s="189" t="s">
        <v>9</v>
      </c>
      <c r="C53" s="190" t="s">
        <v>41</v>
      </c>
      <c r="D53" s="209">
        <v>214.43</v>
      </c>
      <c r="E53" s="233">
        <v>218.47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4.25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530572.31000000006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24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530572.31000000006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530572.31000000006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530572.31000000006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" right="0.75" top="0.56000000000000005" bottom="0.59" header="0.5" footer="0.5"/>
  <pageSetup paperSize="9" scale="70" orientation="portrait" r:id="rId1"/>
  <headerFooter alignWithMargins="0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4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41"/>
      <c r="C4" s="141"/>
      <c r="D4" s="141"/>
      <c r="E4" s="141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218</v>
      </c>
      <c r="C6" s="359"/>
      <c r="D6" s="359"/>
      <c r="E6" s="359"/>
    </row>
    <row r="7" spans="2:7" ht="14.25">
      <c r="B7" s="139"/>
      <c r="C7" s="139"/>
      <c r="D7" s="139"/>
      <c r="E7" s="139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40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208477.12</v>
      </c>
      <c r="E11" s="244">
        <f>SUM(E12:E14)</f>
        <v>147532.22</v>
      </c>
    </row>
    <row r="12" spans="2:7">
      <c r="B12" s="174" t="s">
        <v>4</v>
      </c>
      <c r="C12" s="175" t="s">
        <v>5</v>
      </c>
      <c r="D12" s="283">
        <v>208477.12</v>
      </c>
      <c r="E12" s="304">
        <f>150123.02-2590.8</f>
        <v>147532.22</v>
      </c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208477.12</v>
      </c>
      <c r="E21" s="148">
        <f>E11-E17</f>
        <v>147532.22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247550.44</v>
      </c>
      <c r="E26" s="231">
        <f>D21</f>
        <v>208477.12</v>
      </c>
    </row>
    <row r="27" spans="2:6">
      <c r="B27" s="9" t="s">
        <v>17</v>
      </c>
      <c r="C27" s="10" t="s">
        <v>111</v>
      </c>
      <c r="D27" s="202">
        <v>-33736.36</v>
      </c>
      <c r="E27" s="224">
        <f>E28-E32</f>
        <v>-62676.82999999998</v>
      </c>
      <c r="F27" s="71"/>
    </row>
    <row r="28" spans="2:6">
      <c r="B28" s="9" t="s">
        <v>18</v>
      </c>
      <c r="C28" s="10" t="s">
        <v>19</v>
      </c>
      <c r="D28" s="202">
        <v>40054.839999999997</v>
      </c>
      <c r="E28" s="225">
        <v>30892.71</v>
      </c>
      <c r="F28" s="71"/>
    </row>
    <row r="29" spans="2:6">
      <c r="B29" s="182" t="s">
        <v>4</v>
      </c>
      <c r="C29" s="175" t="s">
        <v>20</v>
      </c>
      <c r="D29" s="203">
        <v>30980.35</v>
      </c>
      <c r="E29" s="226">
        <v>23388.93</v>
      </c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>
        <v>9074.49</v>
      </c>
      <c r="E31" s="226">
        <v>7503.78</v>
      </c>
      <c r="F31" s="71"/>
    </row>
    <row r="32" spans="2:6">
      <c r="B32" s="92" t="s">
        <v>23</v>
      </c>
      <c r="C32" s="11" t="s">
        <v>24</v>
      </c>
      <c r="D32" s="202">
        <v>73791.199999999997</v>
      </c>
      <c r="E32" s="225">
        <f>SUM(E33:E39)</f>
        <v>93569.539999999979</v>
      </c>
      <c r="F32" s="71"/>
    </row>
    <row r="33" spans="2:6">
      <c r="B33" s="182" t="s">
        <v>4</v>
      </c>
      <c r="C33" s="175" t="s">
        <v>25</v>
      </c>
      <c r="D33" s="203">
        <v>38779.82</v>
      </c>
      <c r="E33" s="226">
        <f>26988.38+1000.39</f>
        <v>27988.77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3122.02</v>
      </c>
      <c r="E35" s="226">
        <v>2556.7399999999998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1629.36</v>
      </c>
      <c r="E37" s="226">
        <v>1227.72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>
        <v>30260</v>
      </c>
      <c r="E39" s="227">
        <v>61796.309999999983</v>
      </c>
      <c r="F39" s="71"/>
    </row>
    <row r="40" spans="2:6" ht="13.5" thickBot="1">
      <c r="B40" s="97" t="s">
        <v>35</v>
      </c>
      <c r="C40" s="98" t="s">
        <v>36</v>
      </c>
      <c r="D40" s="205">
        <v>-5336.96</v>
      </c>
      <c r="E40" s="232">
        <v>1731.93</v>
      </c>
    </row>
    <row r="41" spans="2:6" ht="13.5" thickBot="1">
      <c r="B41" s="99" t="s">
        <v>37</v>
      </c>
      <c r="C41" s="100" t="s">
        <v>38</v>
      </c>
      <c r="D41" s="206">
        <v>208477.12000000002</v>
      </c>
      <c r="E41" s="148">
        <f>E26+E27+E40</f>
        <v>147532.22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1508.626</v>
      </c>
      <c r="E47" s="235">
        <v>1300.21903</v>
      </c>
    </row>
    <row r="48" spans="2:6">
      <c r="B48" s="187" t="s">
        <v>6</v>
      </c>
      <c r="C48" s="188" t="s">
        <v>41</v>
      </c>
      <c r="D48" s="207">
        <v>1300.21903</v>
      </c>
      <c r="E48" s="235">
        <v>914.81499999999994</v>
      </c>
    </row>
    <row r="49" spans="2:5">
      <c r="B49" s="120" t="s">
        <v>23</v>
      </c>
      <c r="C49" s="124" t="s">
        <v>113</v>
      </c>
      <c r="D49" s="208"/>
      <c r="E49" s="211"/>
    </row>
    <row r="50" spans="2:5">
      <c r="B50" s="185" t="s">
        <v>4</v>
      </c>
      <c r="C50" s="186" t="s">
        <v>40</v>
      </c>
      <c r="D50" s="207">
        <v>164.09</v>
      </c>
      <c r="E50" s="236">
        <v>160.34</v>
      </c>
    </row>
    <row r="51" spans="2:5">
      <c r="B51" s="185" t="s">
        <v>6</v>
      </c>
      <c r="C51" s="186" t="s">
        <v>114</v>
      </c>
      <c r="D51" s="207">
        <v>158.06</v>
      </c>
      <c r="E51" s="267">
        <v>158.82</v>
      </c>
    </row>
    <row r="52" spans="2:5">
      <c r="B52" s="185" t="s">
        <v>8</v>
      </c>
      <c r="C52" s="186" t="s">
        <v>115</v>
      </c>
      <c r="D52" s="207">
        <v>166.89</v>
      </c>
      <c r="E52" s="267">
        <v>163.69</v>
      </c>
    </row>
    <row r="53" spans="2:5" ht="13.5" customHeight="1" thickBot="1">
      <c r="B53" s="189" t="s">
        <v>9</v>
      </c>
      <c r="C53" s="190" t="s">
        <v>41</v>
      </c>
      <c r="D53" s="209">
        <v>160.34</v>
      </c>
      <c r="E53" s="233">
        <v>161.27000000000001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7.2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147532.22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4.2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E12</f>
        <v>147532.22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0" t="s">
        <v>64</v>
      </c>
      <c r="C74" s="121" t="s">
        <v>66</v>
      </c>
      <c r="D74" s="122">
        <f>D58-D73</f>
        <v>147532.22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147532.22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61" right="0.75" top="0.55000000000000004" bottom="0.46" header="0.5" footer="0.5"/>
  <pageSetup paperSize="9" scale="70" orientation="portrait" r:id="rId1"/>
  <headerFooter alignWithMargins="0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5"/>
  <dimension ref="A1:H81"/>
  <sheetViews>
    <sheetView zoomScale="80" zoomScaleNormal="80" workbookViewId="0">
      <selection activeCell="G1" sqref="G1:J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4.42578125" bestFit="1" customWidth="1"/>
    <col min="8" max="8" width="12.42578125" bestFit="1" customWidth="1"/>
  </cols>
  <sheetData>
    <row r="1" spans="2:8">
      <c r="B1" s="1"/>
      <c r="C1" s="1"/>
      <c r="D1" s="2"/>
      <c r="E1" s="2"/>
    </row>
    <row r="2" spans="2:8" ht="15.75">
      <c r="B2" s="357" t="s">
        <v>0</v>
      </c>
      <c r="C2" s="357"/>
      <c r="D2" s="357"/>
      <c r="E2" s="357"/>
      <c r="H2" s="71"/>
    </row>
    <row r="3" spans="2:8" ht="15.75">
      <c r="B3" s="357" t="s">
        <v>267</v>
      </c>
      <c r="C3" s="357"/>
      <c r="D3" s="357"/>
      <c r="E3" s="357"/>
    </row>
    <row r="4" spans="2:8" ht="15">
      <c r="B4" s="141"/>
      <c r="C4" s="141"/>
      <c r="D4" s="141"/>
      <c r="E4" s="141"/>
    </row>
    <row r="5" spans="2:8" ht="21" customHeight="1">
      <c r="B5" s="358" t="s">
        <v>1</v>
      </c>
      <c r="C5" s="358"/>
      <c r="D5" s="358"/>
      <c r="E5" s="358"/>
    </row>
    <row r="6" spans="2:8" ht="14.25">
      <c r="B6" s="359" t="s">
        <v>219</v>
      </c>
      <c r="C6" s="359"/>
      <c r="D6" s="359"/>
      <c r="E6" s="359"/>
    </row>
    <row r="7" spans="2:8" ht="14.25">
      <c r="B7" s="139"/>
      <c r="C7" s="139"/>
      <c r="D7" s="139"/>
      <c r="E7" s="139"/>
    </row>
    <row r="8" spans="2:8" ht="13.5">
      <c r="B8" s="361" t="s">
        <v>18</v>
      </c>
      <c r="C8" s="363"/>
      <c r="D8" s="363"/>
      <c r="E8" s="363"/>
    </row>
    <row r="9" spans="2:8" ht="16.5" thickBot="1">
      <c r="B9" s="360" t="s">
        <v>103</v>
      </c>
      <c r="C9" s="360"/>
      <c r="D9" s="360"/>
      <c r="E9" s="360"/>
    </row>
    <row r="10" spans="2:8" ht="13.5" thickBot="1">
      <c r="B10" s="140"/>
      <c r="C10" s="76" t="s">
        <v>2</v>
      </c>
      <c r="D10" s="70" t="s">
        <v>125</v>
      </c>
      <c r="E10" s="319" t="s">
        <v>268</v>
      </c>
    </row>
    <row r="11" spans="2:8">
      <c r="B11" s="90" t="s">
        <v>3</v>
      </c>
      <c r="C11" s="128" t="s">
        <v>109</v>
      </c>
      <c r="D11" s="243">
        <v>104822.06</v>
      </c>
      <c r="E11" s="244">
        <f>SUM(E12:E14)</f>
        <v>16934.560000000001</v>
      </c>
    </row>
    <row r="12" spans="2:8">
      <c r="B12" s="174" t="s">
        <v>4</v>
      </c>
      <c r="C12" s="175" t="s">
        <v>5</v>
      </c>
      <c r="D12" s="283">
        <v>104822.06</v>
      </c>
      <c r="E12" s="304">
        <f>17649.52-714.96</f>
        <v>16934.560000000001</v>
      </c>
    </row>
    <row r="13" spans="2:8">
      <c r="B13" s="174" t="s">
        <v>6</v>
      </c>
      <c r="C13" s="176" t="s">
        <v>7</v>
      </c>
      <c r="D13" s="276"/>
      <c r="E13" s="305"/>
    </row>
    <row r="14" spans="2:8">
      <c r="B14" s="174" t="s">
        <v>8</v>
      </c>
      <c r="C14" s="176" t="s">
        <v>10</v>
      </c>
      <c r="D14" s="276"/>
      <c r="E14" s="305"/>
    </row>
    <row r="15" spans="2:8">
      <c r="B15" s="174" t="s">
        <v>106</v>
      </c>
      <c r="C15" s="176" t="s">
        <v>11</v>
      </c>
      <c r="D15" s="276"/>
      <c r="E15" s="305"/>
    </row>
    <row r="16" spans="2:8">
      <c r="B16" s="177" t="s">
        <v>107</v>
      </c>
      <c r="C16" s="178" t="s">
        <v>12</v>
      </c>
      <c r="D16" s="278"/>
      <c r="E16" s="306"/>
    </row>
    <row r="17" spans="2:7">
      <c r="B17" s="9" t="s">
        <v>13</v>
      </c>
      <c r="C17" s="11" t="s">
        <v>65</v>
      </c>
      <c r="D17" s="279"/>
      <c r="E17" s="307"/>
    </row>
    <row r="18" spans="2:7">
      <c r="B18" s="174" t="s">
        <v>4</v>
      </c>
      <c r="C18" s="175" t="s">
        <v>11</v>
      </c>
      <c r="D18" s="278"/>
      <c r="E18" s="306"/>
    </row>
    <row r="19" spans="2:7" ht="15" customHeight="1">
      <c r="B19" s="174" t="s">
        <v>6</v>
      </c>
      <c r="C19" s="176" t="s">
        <v>108</v>
      </c>
      <c r="D19" s="276"/>
      <c r="E19" s="305"/>
    </row>
    <row r="20" spans="2:7" ht="13.5" thickBot="1">
      <c r="B20" s="179" t="s">
        <v>8</v>
      </c>
      <c r="C20" s="180" t="s">
        <v>14</v>
      </c>
      <c r="D20" s="245"/>
      <c r="E20" s="246"/>
    </row>
    <row r="21" spans="2:7" ht="13.5" thickBot="1">
      <c r="B21" s="367" t="s">
        <v>110</v>
      </c>
      <c r="C21" s="368"/>
      <c r="D21" s="247">
        <v>104822.06</v>
      </c>
      <c r="E21" s="148">
        <f>E11-E17</f>
        <v>16934.560000000001</v>
      </c>
      <c r="F21" s="77"/>
      <c r="G21" s="67">
        <f>E21-E41</f>
        <v>0</v>
      </c>
    </row>
    <row r="22" spans="2:7">
      <c r="B22" s="3"/>
      <c r="C22" s="7"/>
      <c r="D22" s="8"/>
      <c r="E22" s="8"/>
    </row>
    <row r="23" spans="2:7" ht="13.5">
      <c r="B23" s="361" t="s">
        <v>104</v>
      </c>
      <c r="C23" s="371"/>
      <c r="D23" s="371"/>
      <c r="E23" s="371"/>
    </row>
    <row r="24" spans="2:7" ht="15.75" customHeight="1" thickBot="1">
      <c r="B24" s="360" t="s">
        <v>105</v>
      </c>
      <c r="C24" s="372"/>
      <c r="D24" s="372"/>
      <c r="E24" s="372"/>
    </row>
    <row r="25" spans="2:7" ht="13.5" thickBot="1">
      <c r="B25" s="214"/>
      <c r="C25" s="181" t="s">
        <v>2</v>
      </c>
      <c r="D25" s="70" t="s">
        <v>125</v>
      </c>
      <c r="E25" s="319" t="s">
        <v>268</v>
      </c>
    </row>
    <row r="26" spans="2:7">
      <c r="B26" s="95" t="s">
        <v>15</v>
      </c>
      <c r="C26" s="96" t="s">
        <v>16</v>
      </c>
      <c r="D26" s="201">
        <v>351768.4</v>
      </c>
      <c r="E26" s="231">
        <f>D21</f>
        <v>104822.06</v>
      </c>
    </row>
    <row r="27" spans="2:7">
      <c r="B27" s="9" t="s">
        <v>17</v>
      </c>
      <c r="C27" s="10" t="s">
        <v>111</v>
      </c>
      <c r="D27" s="202">
        <v>-235058.03</v>
      </c>
      <c r="E27" s="224">
        <f>E28-E32</f>
        <v>-89992.97</v>
      </c>
      <c r="F27" s="71"/>
    </row>
    <row r="28" spans="2:7">
      <c r="B28" s="9" t="s">
        <v>18</v>
      </c>
      <c r="C28" s="10" t="s">
        <v>19</v>
      </c>
      <c r="D28" s="202">
        <v>15344.53</v>
      </c>
      <c r="E28" s="225">
        <v>6006.37</v>
      </c>
      <c r="F28" s="71"/>
    </row>
    <row r="29" spans="2:7">
      <c r="B29" s="182" t="s">
        <v>4</v>
      </c>
      <c r="C29" s="175" t="s">
        <v>20</v>
      </c>
      <c r="D29" s="203">
        <v>11543.11</v>
      </c>
      <c r="E29" s="226">
        <v>6006.37</v>
      </c>
      <c r="F29" s="71"/>
    </row>
    <row r="30" spans="2:7">
      <c r="B30" s="182" t="s">
        <v>6</v>
      </c>
      <c r="C30" s="175" t="s">
        <v>21</v>
      </c>
      <c r="D30" s="203"/>
      <c r="E30" s="226"/>
      <c r="F30" s="71"/>
    </row>
    <row r="31" spans="2:7">
      <c r="B31" s="182" t="s">
        <v>8</v>
      </c>
      <c r="C31" s="175" t="s">
        <v>22</v>
      </c>
      <c r="D31" s="203">
        <v>3801.42</v>
      </c>
      <c r="E31" s="226"/>
      <c r="F31" s="71"/>
    </row>
    <row r="32" spans="2:7">
      <c r="B32" s="92" t="s">
        <v>23</v>
      </c>
      <c r="C32" s="11" t="s">
        <v>24</v>
      </c>
      <c r="D32" s="202">
        <v>250402.56</v>
      </c>
      <c r="E32" s="225">
        <f>SUM(E33:E39)</f>
        <v>95999.34</v>
      </c>
      <c r="F32" s="71"/>
    </row>
    <row r="33" spans="2:6">
      <c r="B33" s="182" t="s">
        <v>4</v>
      </c>
      <c r="C33" s="175" t="s">
        <v>25</v>
      </c>
      <c r="D33" s="203">
        <v>219998.81</v>
      </c>
      <c r="E33" s="226">
        <f>24730.86+415.99</f>
        <v>25146.850000000002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763.83</v>
      </c>
      <c r="E35" s="226">
        <v>462.33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2580.25</v>
      </c>
      <c r="E37" s="226">
        <v>341.46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>
        <v>27059.67</v>
      </c>
      <c r="E39" s="227">
        <v>70048.7</v>
      </c>
      <c r="F39" s="71"/>
    </row>
    <row r="40" spans="2:6" ht="13.5" thickBot="1">
      <c r="B40" s="97" t="s">
        <v>35</v>
      </c>
      <c r="C40" s="98" t="s">
        <v>36</v>
      </c>
      <c r="D40" s="205">
        <v>-11888.31</v>
      </c>
      <c r="E40" s="232">
        <v>2105.4699999999998</v>
      </c>
    </row>
    <row r="41" spans="2:6" ht="13.5" thickBot="1">
      <c r="B41" s="99" t="s">
        <v>37</v>
      </c>
      <c r="C41" s="100" t="s">
        <v>38</v>
      </c>
      <c r="D41" s="206">
        <v>104822.06000000003</v>
      </c>
      <c r="E41" s="148">
        <f>E26+E27+E40</f>
        <v>16934.559999999998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2405.5830000000001</v>
      </c>
      <c r="E47" s="149">
        <v>763.28594999999996</v>
      </c>
    </row>
    <row r="48" spans="2:6">
      <c r="B48" s="187" t="s">
        <v>6</v>
      </c>
      <c r="C48" s="188" t="s">
        <v>41</v>
      </c>
      <c r="D48" s="207">
        <v>763.28594999999996</v>
      </c>
      <c r="E48" s="149">
        <v>123.854</v>
      </c>
    </row>
    <row r="49" spans="2:5">
      <c r="B49" s="120" t="s">
        <v>23</v>
      </c>
      <c r="C49" s="124" t="s">
        <v>113</v>
      </c>
      <c r="D49" s="208"/>
      <c r="E49" s="149"/>
    </row>
    <row r="50" spans="2:5">
      <c r="B50" s="185" t="s">
        <v>4</v>
      </c>
      <c r="C50" s="186" t="s">
        <v>40</v>
      </c>
      <c r="D50" s="207">
        <v>146.22999999999999</v>
      </c>
      <c r="E50" s="149">
        <v>137.33000000000001</v>
      </c>
    </row>
    <row r="51" spans="2:5">
      <c r="B51" s="185" t="s">
        <v>6</v>
      </c>
      <c r="C51" s="186" t="s">
        <v>114</v>
      </c>
      <c r="D51" s="207">
        <v>134.24</v>
      </c>
      <c r="E51" s="149">
        <v>133.77000000000001</v>
      </c>
    </row>
    <row r="52" spans="2:5">
      <c r="B52" s="185" t="s">
        <v>8</v>
      </c>
      <c r="C52" s="186" t="s">
        <v>115</v>
      </c>
      <c r="D52" s="207">
        <v>150.63</v>
      </c>
      <c r="E52" s="75">
        <v>142.28</v>
      </c>
    </row>
    <row r="53" spans="2:5" ht="12.75" customHeight="1" thickBot="1">
      <c r="B53" s="189" t="s">
        <v>9</v>
      </c>
      <c r="C53" s="190" t="s">
        <v>41</v>
      </c>
      <c r="D53" s="209">
        <v>137.33000000000001</v>
      </c>
      <c r="E53" s="233">
        <v>136.72999999999999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4.25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16934.560000000001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16934.560000000001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16934.560000000001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16934.560000000001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" right="0.75" top="0.59" bottom="0.49" header="0.5" footer="0.5"/>
  <pageSetup paperSize="9" scale="70" orientation="portrait" r:id="rId1"/>
  <headerFooter alignWithMargins="0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6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41"/>
      <c r="C4" s="141"/>
      <c r="D4" s="141"/>
      <c r="E4" s="141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220</v>
      </c>
      <c r="C6" s="359"/>
      <c r="D6" s="359"/>
      <c r="E6" s="359"/>
    </row>
    <row r="7" spans="2:7" ht="14.25">
      <c r="B7" s="139"/>
      <c r="C7" s="139"/>
      <c r="D7" s="139"/>
      <c r="E7" s="139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40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101938.44</v>
      </c>
      <c r="E11" s="244">
        <f>SUM(E12:E14)</f>
        <v>73412.56</v>
      </c>
    </row>
    <row r="12" spans="2:7">
      <c r="B12" s="174" t="s">
        <v>4</v>
      </c>
      <c r="C12" s="175" t="s">
        <v>5</v>
      </c>
      <c r="D12" s="283">
        <v>101938.44</v>
      </c>
      <c r="E12" s="304">
        <v>73412.56</v>
      </c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101938.44</v>
      </c>
      <c r="E21" s="148">
        <f>E11-E17</f>
        <v>73412.56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264424.64</v>
      </c>
      <c r="E26" s="231">
        <f>D21</f>
        <v>101938.44</v>
      </c>
    </row>
    <row r="27" spans="2:6">
      <c r="B27" s="9" t="s">
        <v>17</v>
      </c>
      <c r="C27" s="10" t="s">
        <v>111</v>
      </c>
      <c r="D27" s="202">
        <v>-124195.45000000001</v>
      </c>
      <c r="E27" s="224">
        <v>-22315.98</v>
      </c>
      <c r="F27" s="71"/>
    </row>
    <row r="28" spans="2:6">
      <c r="B28" s="9" t="s">
        <v>18</v>
      </c>
      <c r="C28" s="10" t="s">
        <v>19</v>
      </c>
      <c r="D28" s="202">
        <v>0</v>
      </c>
      <c r="E28" s="225">
        <v>0</v>
      </c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/>
      <c r="E31" s="226"/>
      <c r="F31" s="71"/>
    </row>
    <row r="32" spans="2:6">
      <c r="B32" s="92" t="s">
        <v>23</v>
      </c>
      <c r="C32" s="11" t="s">
        <v>24</v>
      </c>
      <c r="D32" s="202">
        <v>124195.45000000001</v>
      </c>
      <c r="E32" s="225">
        <v>22315.98</v>
      </c>
      <c r="F32" s="71"/>
    </row>
    <row r="33" spans="2:6">
      <c r="B33" s="182" t="s">
        <v>4</v>
      </c>
      <c r="C33" s="175" t="s">
        <v>25</v>
      </c>
      <c r="D33" s="203">
        <v>55833.9</v>
      </c>
      <c r="E33" s="226"/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915.8</v>
      </c>
      <c r="E35" s="226">
        <v>853.77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1959.04</v>
      </c>
      <c r="E37" s="226">
        <v>1767.22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>
        <v>65486.71</v>
      </c>
      <c r="E39" s="227">
        <v>19694.990000000002</v>
      </c>
      <c r="F39" s="71"/>
    </row>
    <row r="40" spans="2:6" ht="13.5" thickBot="1">
      <c r="B40" s="97" t="s">
        <v>35</v>
      </c>
      <c r="C40" s="98" t="s">
        <v>36</v>
      </c>
      <c r="D40" s="205">
        <v>-38290.75</v>
      </c>
      <c r="E40" s="232">
        <v>-6209.9</v>
      </c>
    </row>
    <row r="41" spans="2:6" ht="13.5" thickBot="1">
      <c r="B41" s="99" t="s">
        <v>37</v>
      </c>
      <c r="C41" s="100" t="s">
        <v>38</v>
      </c>
      <c r="D41" s="206">
        <v>101938.44</v>
      </c>
      <c r="E41" s="148">
        <f>E26+E27+E40</f>
        <v>73412.560000000012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2103.6169</v>
      </c>
      <c r="E47" s="149">
        <v>999.88660000000004</v>
      </c>
    </row>
    <row r="48" spans="2:6">
      <c r="B48" s="187" t="s">
        <v>6</v>
      </c>
      <c r="C48" s="188" t="s">
        <v>41</v>
      </c>
      <c r="D48" s="207">
        <v>999.88660000000004</v>
      </c>
      <c r="E48" s="149">
        <v>766.07069999999999</v>
      </c>
    </row>
    <row r="49" spans="2:5">
      <c r="B49" s="120" t="s">
        <v>23</v>
      </c>
      <c r="C49" s="124" t="s">
        <v>113</v>
      </c>
      <c r="D49" s="208"/>
      <c r="E49" s="149"/>
    </row>
    <row r="50" spans="2:5">
      <c r="B50" s="185" t="s">
        <v>4</v>
      </c>
      <c r="C50" s="186" t="s">
        <v>40</v>
      </c>
      <c r="D50" s="207">
        <v>125.7</v>
      </c>
      <c r="E50" s="149">
        <v>101.95</v>
      </c>
    </row>
    <row r="51" spans="2:5">
      <c r="B51" s="185" t="s">
        <v>6</v>
      </c>
      <c r="C51" s="186" t="s">
        <v>114</v>
      </c>
      <c r="D51" s="207">
        <v>99.37</v>
      </c>
      <c r="E51" s="149">
        <v>92.57</v>
      </c>
    </row>
    <row r="52" spans="2:5">
      <c r="B52" s="185" t="s">
        <v>8</v>
      </c>
      <c r="C52" s="186" t="s">
        <v>115</v>
      </c>
      <c r="D52" s="207">
        <v>131.03</v>
      </c>
      <c r="E52" s="75">
        <v>107.57000000000001</v>
      </c>
    </row>
    <row r="53" spans="2:5" ht="14.25" customHeight="1" thickBot="1">
      <c r="B53" s="189" t="s">
        <v>9</v>
      </c>
      <c r="C53" s="190" t="s">
        <v>41</v>
      </c>
      <c r="D53" s="209">
        <v>101.95</v>
      </c>
      <c r="E53" s="233">
        <v>95.83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5.7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73412.56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73412.56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73412.56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73412.56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7"/>
  <dimension ref="A1:F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141"/>
      <c r="C4" s="141"/>
      <c r="D4" s="141"/>
      <c r="E4" s="141"/>
    </row>
    <row r="5" spans="2:5" ht="21" customHeight="1">
      <c r="B5" s="358" t="s">
        <v>1</v>
      </c>
      <c r="C5" s="358"/>
      <c r="D5" s="358"/>
      <c r="E5" s="358"/>
    </row>
    <row r="6" spans="2:5" ht="14.25">
      <c r="B6" s="359" t="s">
        <v>221</v>
      </c>
      <c r="C6" s="359"/>
      <c r="D6" s="359"/>
      <c r="E6" s="359"/>
    </row>
    <row r="7" spans="2:5" ht="14.25">
      <c r="B7" s="139"/>
      <c r="C7" s="139"/>
      <c r="D7" s="139"/>
      <c r="E7" s="139"/>
    </row>
    <row r="8" spans="2:5" ht="13.5">
      <c r="B8" s="361" t="s">
        <v>18</v>
      </c>
      <c r="C8" s="363"/>
      <c r="D8" s="363"/>
      <c r="E8" s="363"/>
    </row>
    <row r="9" spans="2:5" ht="16.5" thickBot="1">
      <c r="B9" s="360" t="s">
        <v>103</v>
      </c>
      <c r="C9" s="360"/>
      <c r="D9" s="360"/>
      <c r="E9" s="360"/>
    </row>
    <row r="10" spans="2:5" ht="13.5" thickBot="1">
      <c r="B10" s="140"/>
      <c r="C10" s="76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28" t="s">
        <v>109</v>
      </c>
      <c r="D11" s="243">
        <v>693310.99</v>
      </c>
      <c r="E11" s="244">
        <f>SUM(E12:E14)</f>
        <v>650949.53</v>
      </c>
    </row>
    <row r="12" spans="2:5">
      <c r="B12" s="174" t="s">
        <v>4</v>
      </c>
      <c r="C12" s="175" t="s">
        <v>5</v>
      </c>
      <c r="D12" s="283">
        <v>693310.99</v>
      </c>
      <c r="E12" s="304">
        <v>650949.53</v>
      </c>
    </row>
    <row r="13" spans="2:5">
      <c r="B13" s="174" t="s">
        <v>6</v>
      </c>
      <c r="C13" s="176" t="s">
        <v>7</v>
      </c>
      <c r="D13" s="276"/>
      <c r="E13" s="305"/>
    </row>
    <row r="14" spans="2:5">
      <c r="B14" s="174" t="s">
        <v>8</v>
      </c>
      <c r="C14" s="176" t="s">
        <v>10</v>
      </c>
      <c r="D14" s="276"/>
      <c r="E14" s="305"/>
    </row>
    <row r="15" spans="2:5">
      <c r="B15" s="174" t="s">
        <v>106</v>
      </c>
      <c r="C15" s="176" t="s">
        <v>11</v>
      </c>
      <c r="D15" s="276"/>
      <c r="E15" s="305"/>
    </row>
    <row r="16" spans="2:5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693310.99</v>
      </c>
      <c r="E21" s="148">
        <f>E11-E17</f>
        <v>650949.53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992505.74</v>
      </c>
      <c r="E26" s="231">
        <f>D21</f>
        <v>693310.99</v>
      </c>
    </row>
    <row r="27" spans="2:6">
      <c r="B27" s="9" t="s">
        <v>17</v>
      </c>
      <c r="C27" s="10" t="s">
        <v>111</v>
      </c>
      <c r="D27" s="202">
        <v>-75815.8</v>
      </c>
      <c r="E27" s="224">
        <v>-11875.98</v>
      </c>
      <c r="F27" s="71"/>
    </row>
    <row r="28" spans="2:6">
      <c r="B28" s="9" t="s">
        <v>18</v>
      </c>
      <c r="C28" s="10" t="s">
        <v>19</v>
      </c>
      <c r="D28" s="202">
        <v>0</v>
      </c>
      <c r="E28" s="225">
        <v>0</v>
      </c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/>
      <c r="E31" s="226"/>
      <c r="F31" s="71"/>
    </row>
    <row r="32" spans="2:6">
      <c r="B32" s="92" t="s">
        <v>23</v>
      </c>
      <c r="C32" s="11" t="s">
        <v>24</v>
      </c>
      <c r="D32" s="202">
        <v>75815.8</v>
      </c>
      <c r="E32" s="225">
        <v>11875.98</v>
      </c>
      <c r="F32" s="71"/>
    </row>
    <row r="33" spans="2:6">
      <c r="B33" s="182" t="s">
        <v>4</v>
      </c>
      <c r="C33" s="175" t="s">
        <v>25</v>
      </c>
      <c r="D33" s="203">
        <v>61234.12</v>
      </c>
      <c r="E33" s="226"/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884.01</v>
      </c>
      <c r="E35" s="226">
        <v>1023.35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13697.67</v>
      </c>
      <c r="E37" s="226">
        <v>10852.63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/>
      <c r="E39" s="227"/>
      <c r="F39" s="71"/>
    </row>
    <row r="40" spans="2:6" ht="13.5" thickBot="1">
      <c r="B40" s="97" t="s">
        <v>35</v>
      </c>
      <c r="C40" s="98" t="s">
        <v>36</v>
      </c>
      <c r="D40" s="205">
        <v>-223378.95</v>
      </c>
      <c r="E40" s="232">
        <v>-30485.48</v>
      </c>
    </row>
    <row r="41" spans="2:6" ht="13.5" thickBot="1">
      <c r="B41" s="99" t="s">
        <v>37</v>
      </c>
      <c r="C41" s="100" t="s">
        <v>38</v>
      </c>
      <c r="D41" s="206">
        <v>693310.99</v>
      </c>
      <c r="E41" s="148">
        <f>E26+E27+E40</f>
        <v>650949.53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9333.3245999999999</v>
      </c>
      <c r="E47" s="149">
        <v>8478.7940999999992</v>
      </c>
    </row>
    <row r="48" spans="2:6">
      <c r="B48" s="187" t="s">
        <v>6</v>
      </c>
      <c r="C48" s="188" t="s">
        <v>41</v>
      </c>
      <c r="D48" s="207">
        <v>8478.7940999999992</v>
      </c>
      <c r="E48" s="149">
        <v>8331.6208000000006</v>
      </c>
    </row>
    <row r="49" spans="2:5">
      <c r="B49" s="120" t="s">
        <v>23</v>
      </c>
      <c r="C49" s="124" t="s">
        <v>113</v>
      </c>
      <c r="D49" s="208"/>
      <c r="E49" s="149"/>
    </row>
    <row r="50" spans="2:5">
      <c r="B50" s="185" t="s">
        <v>4</v>
      </c>
      <c r="C50" s="186" t="s">
        <v>40</v>
      </c>
      <c r="D50" s="207">
        <v>106.34</v>
      </c>
      <c r="E50" s="149">
        <v>81.77</v>
      </c>
    </row>
    <row r="51" spans="2:5">
      <c r="B51" s="185" t="s">
        <v>6</v>
      </c>
      <c r="C51" s="186" t="s">
        <v>114</v>
      </c>
      <c r="D51" s="207">
        <v>81.2</v>
      </c>
      <c r="E51" s="149">
        <v>74.8</v>
      </c>
    </row>
    <row r="52" spans="2:5">
      <c r="B52" s="185" t="s">
        <v>8</v>
      </c>
      <c r="C52" s="186" t="s">
        <v>115</v>
      </c>
      <c r="D52" s="207">
        <v>109.91</v>
      </c>
      <c r="E52" s="75">
        <v>86.38</v>
      </c>
    </row>
    <row r="53" spans="2:5" ht="12.75" customHeight="1" thickBot="1">
      <c r="B53" s="189" t="s">
        <v>9</v>
      </c>
      <c r="C53" s="190" t="s">
        <v>41</v>
      </c>
      <c r="D53" s="209">
        <v>81.77</v>
      </c>
      <c r="E53" s="233">
        <v>78.13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6.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650949.53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650949.53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650949.53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650949.53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8">
    <pageSetUpPr fitToPage="1"/>
  </sheetPr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41"/>
      <c r="C4" s="141"/>
      <c r="D4" s="141"/>
      <c r="E4" s="141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222</v>
      </c>
      <c r="C6" s="359"/>
      <c r="D6" s="359"/>
      <c r="E6" s="359"/>
    </row>
    <row r="7" spans="2:7" ht="14.25">
      <c r="B7" s="139"/>
      <c r="C7" s="139"/>
      <c r="D7" s="139"/>
      <c r="E7" s="139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40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305221.19</v>
      </c>
      <c r="E11" s="244">
        <f>SUM(E12:E14)</f>
        <v>301945.83</v>
      </c>
    </row>
    <row r="12" spans="2:7">
      <c r="B12" s="174" t="s">
        <v>4</v>
      </c>
      <c r="C12" s="175" t="s">
        <v>5</v>
      </c>
      <c r="D12" s="283">
        <v>305221.19</v>
      </c>
      <c r="E12" s="304">
        <v>301945.83</v>
      </c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305221.19</v>
      </c>
      <c r="E21" s="148">
        <f>E11-E17</f>
        <v>301945.83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1206221.68</v>
      </c>
      <c r="E26" s="231">
        <f>D21</f>
        <v>305221.19</v>
      </c>
    </row>
    <row r="27" spans="2:6">
      <c r="B27" s="9" t="s">
        <v>17</v>
      </c>
      <c r="C27" s="10" t="s">
        <v>111</v>
      </c>
      <c r="D27" s="202">
        <v>-722056.16</v>
      </c>
      <c r="E27" s="224">
        <v>-5898.02</v>
      </c>
      <c r="F27" s="71"/>
    </row>
    <row r="28" spans="2:6">
      <c r="B28" s="9" t="s">
        <v>18</v>
      </c>
      <c r="C28" s="10" t="s">
        <v>19</v>
      </c>
      <c r="D28" s="202">
        <v>0</v>
      </c>
      <c r="E28" s="225">
        <v>0</v>
      </c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/>
      <c r="E31" s="226"/>
      <c r="F31" s="71"/>
    </row>
    <row r="32" spans="2:6">
      <c r="B32" s="92" t="s">
        <v>23</v>
      </c>
      <c r="C32" s="11" t="s">
        <v>24</v>
      </c>
      <c r="D32" s="202">
        <v>722056.16</v>
      </c>
      <c r="E32" s="225">
        <v>5898.02</v>
      </c>
      <c r="F32" s="71"/>
    </row>
    <row r="33" spans="2:6">
      <c r="B33" s="182" t="s">
        <v>4</v>
      </c>
      <c r="C33" s="175" t="s">
        <v>25</v>
      </c>
      <c r="D33" s="203">
        <v>42266.77</v>
      </c>
      <c r="E33" s="226"/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111.43</v>
      </c>
      <c r="E35" s="226">
        <v>1.62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10099.719999999999</v>
      </c>
      <c r="E37" s="226">
        <v>4901.4799999999996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>
        <v>669578.23999999999</v>
      </c>
      <c r="E39" s="227">
        <v>994.92</v>
      </c>
      <c r="F39" s="71"/>
    </row>
    <row r="40" spans="2:6" ht="13.5" thickBot="1">
      <c r="B40" s="97" t="s">
        <v>35</v>
      </c>
      <c r="C40" s="98" t="s">
        <v>36</v>
      </c>
      <c r="D40" s="205">
        <v>-178944.33</v>
      </c>
      <c r="E40" s="232">
        <v>2622.66</v>
      </c>
    </row>
    <row r="41" spans="2:6" ht="13.5" thickBot="1">
      <c r="B41" s="99" t="s">
        <v>37</v>
      </c>
      <c r="C41" s="100" t="s">
        <v>38</v>
      </c>
      <c r="D41" s="206">
        <v>305221.18999999994</v>
      </c>
      <c r="E41" s="148">
        <f>E26+E27+E40</f>
        <v>301945.82999999996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22525.148099999999</v>
      </c>
      <c r="E47" s="149">
        <v>8117.5848999999998</v>
      </c>
    </row>
    <row r="48" spans="2:6">
      <c r="B48" s="187" t="s">
        <v>6</v>
      </c>
      <c r="C48" s="188" t="s">
        <v>41</v>
      </c>
      <c r="D48" s="207">
        <v>8117.5848999999998</v>
      </c>
      <c r="E48" s="149">
        <v>7962.7064</v>
      </c>
    </row>
    <row r="49" spans="2:5">
      <c r="B49" s="120" t="s">
        <v>23</v>
      </c>
      <c r="C49" s="124" t="s">
        <v>113</v>
      </c>
      <c r="D49" s="208"/>
      <c r="E49" s="149"/>
    </row>
    <row r="50" spans="2:5">
      <c r="B50" s="185" t="s">
        <v>4</v>
      </c>
      <c r="C50" s="186" t="s">
        <v>40</v>
      </c>
      <c r="D50" s="207">
        <v>53.55</v>
      </c>
      <c r="E50" s="149">
        <v>37.6</v>
      </c>
    </row>
    <row r="51" spans="2:5">
      <c r="B51" s="185" t="s">
        <v>6</v>
      </c>
      <c r="C51" s="186" t="s">
        <v>114</v>
      </c>
      <c r="D51" s="207">
        <v>37.6</v>
      </c>
      <c r="E51" s="149">
        <v>35.76</v>
      </c>
    </row>
    <row r="52" spans="2:5">
      <c r="B52" s="185" t="s">
        <v>8</v>
      </c>
      <c r="C52" s="186" t="s">
        <v>115</v>
      </c>
      <c r="D52" s="207">
        <v>55.83</v>
      </c>
      <c r="E52" s="75">
        <v>40.49</v>
      </c>
    </row>
    <row r="53" spans="2:5" ht="14.25" customHeight="1" thickBot="1">
      <c r="B53" s="189" t="s">
        <v>9</v>
      </c>
      <c r="C53" s="190" t="s">
        <v>41</v>
      </c>
      <c r="D53" s="209">
        <v>37.6</v>
      </c>
      <c r="E53" s="233">
        <v>37.92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4.25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301945.83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301945.83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301945.83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301945.83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pageSetUpPr fitToPage="1"/>
  </sheetPr>
  <dimension ref="A1:G81"/>
  <sheetViews>
    <sheetView zoomScale="80" zoomScaleNormal="80" workbookViewId="0">
      <selection activeCell="J27" sqref="J27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85"/>
      <c r="C4" s="85"/>
      <c r="D4" s="85"/>
      <c r="E4" s="85"/>
    </row>
    <row r="5" spans="2:5" ht="21" customHeight="1">
      <c r="B5" s="358" t="s">
        <v>1</v>
      </c>
      <c r="C5" s="358"/>
      <c r="D5" s="358"/>
      <c r="E5" s="358"/>
    </row>
    <row r="6" spans="2:5" ht="14.25">
      <c r="B6" s="359" t="s">
        <v>124</v>
      </c>
      <c r="C6" s="359"/>
      <c r="D6" s="359"/>
      <c r="E6" s="359"/>
    </row>
    <row r="7" spans="2:5" ht="14.25">
      <c r="B7" s="89"/>
      <c r="C7" s="89"/>
      <c r="D7" s="89"/>
      <c r="E7" s="89"/>
    </row>
    <row r="8" spans="2:5" ht="13.5">
      <c r="B8" s="361" t="s">
        <v>18</v>
      </c>
      <c r="C8" s="363"/>
      <c r="D8" s="363"/>
      <c r="E8" s="363"/>
    </row>
    <row r="9" spans="2:5" ht="16.5" thickBot="1">
      <c r="B9" s="360" t="s">
        <v>103</v>
      </c>
      <c r="C9" s="360"/>
      <c r="D9" s="360"/>
      <c r="E9" s="360"/>
    </row>
    <row r="10" spans="2:5" ht="13.5" thickBot="1">
      <c r="B10" s="242"/>
      <c r="C10" s="215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94" t="s">
        <v>109</v>
      </c>
      <c r="D11" s="243">
        <v>242909.18</v>
      </c>
      <c r="E11" s="244">
        <f>SUM(E12:E14)</f>
        <v>264464.53999999998</v>
      </c>
    </row>
    <row r="12" spans="2:5">
      <c r="B12" s="174" t="s">
        <v>4</v>
      </c>
      <c r="C12" s="275" t="s">
        <v>5</v>
      </c>
      <c r="D12" s="283">
        <v>241363.24</v>
      </c>
      <c r="E12" s="304">
        <f>239333.23+22988.35</f>
        <v>262321.58</v>
      </c>
    </row>
    <row r="13" spans="2:5">
      <c r="B13" s="174" t="s">
        <v>6</v>
      </c>
      <c r="C13" s="275" t="s">
        <v>7</v>
      </c>
      <c r="D13" s="276"/>
      <c r="E13" s="305">
        <v>932.3</v>
      </c>
    </row>
    <row r="14" spans="2:5">
      <c r="B14" s="174" t="s">
        <v>8</v>
      </c>
      <c r="C14" s="275" t="s">
        <v>10</v>
      </c>
      <c r="D14" s="276">
        <v>1545.94</v>
      </c>
      <c r="E14" s="305">
        <f>E15</f>
        <v>1210.6600000000001</v>
      </c>
    </row>
    <row r="15" spans="2:5">
      <c r="B15" s="174" t="s">
        <v>106</v>
      </c>
      <c r="C15" s="275" t="s">
        <v>11</v>
      </c>
      <c r="D15" s="276">
        <v>1545.94</v>
      </c>
      <c r="E15" s="305">
        <v>1210.6600000000001</v>
      </c>
    </row>
    <row r="16" spans="2:5">
      <c r="B16" s="177" t="s">
        <v>107</v>
      </c>
      <c r="C16" s="277" t="s">
        <v>12</v>
      </c>
      <c r="D16" s="278"/>
      <c r="E16" s="306"/>
    </row>
    <row r="17" spans="2:7">
      <c r="B17" s="9" t="s">
        <v>13</v>
      </c>
      <c r="C17" s="197" t="s">
        <v>65</v>
      </c>
      <c r="D17" s="279">
        <v>463.58</v>
      </c>
      <c r="E17" s="307">
        <f>E18</f>
        <v>768.57</v>
      </c>
    </row>
    <row r="18" spans="2:7">
      <c r="B18" s="174" t="s">
        <v>4</v>
      </c>
      <c r="C18" s="275" t="s">
        <v>11</v>
      </c>
      <c r="D18" s="278">
        <v>463.58</v>
      </c>
      <c r="E18" s="306">
        <v>768.57</v>
      </c>
    </row>
    <row r="19" spans="2:7" ht="15" customHeight="1">
      <c r="B19" s="174" t="s">
        <v>6</v>
      </c>
      <c r="C19" s="275" t="s">
        <v>108</v>
      </c>
      <c r="D19" s="276"/>
      <c r="E19" s="305"/>
    </row>
    <row r="20" spans="2:7" ht="13.5" thickBot="1">
      <c r="B20" s="179" t="s">
        <v>8</v>
      </c>
      <c r="C20" s="180" t="s">
        <v>14</v>
      </c>
      <c r="D20" s="245"/>
      <c r="E20" s="246"/>
    </row>
    <row r="21" spans="2:7" ht="13.5" thickBot="1">
      <c r="B21" s="367" t="s">
        <v>110</v>
      </c>
      <c r="C21" s="368"/>
      <c r="D21" s="247">
        <v>242445.6</v>
      </c>
      <c r="E21" s="148">
        <f>E11-E17</f>
        <v>263695.96999999997</v>
      </c>
      <c r="F21" s="77"/>
    </row>
    <row r="22" spans="2:7">
      <c r="B22" s="3"/>
      <c r="C22" s="7"/>
      <c r="D22" s="8"/>
      <c r="E22" s="8"/>
    </row>
    <row r="23" spans="2:7" ht="13.5">
      <c r="B23" s="361" t="s">
        <v>104</v>
      </c>
      <c r="C23" s="371"/>
      <c r="D23" s="371"/>
      <c r="E23" s="371"/>
    </row>
    <row r="24" spans="2:7" ht="16.5" customHeight="1" thickBot="1">
      <c r="B24" s="360" t="s">
        <v>105</v>
      </c>
      <c r="C24" s="372"/>
      <c r="D24" s="372"/>
      <c r="E24" s="372"/>
    </row>
    <row r="25" spans="2:7" ht="13.5" thickBot="1">
      <c r="B25" s="242"/>
      <c r="C25" s="181" t="s">
        <v>2</v>
      </c>
      <c r="D25" s="70" t="s">
        <v>125</v>
      </c>
      <c r="E25" s="319" t="s">
        <v>268</v>
      </c>
    </row>
    <row r="26" spans="2:7">
      <c r="B26" s="95" t="s">
        <v>15</v>
      </c>
      <c r="C26" s="96" t="s">
        <v>16</v>
      </c>
      <c r="D26" s="201">
        <v>238655.47999999998</v>
      </c>
      <c r="E26" s="231">
        <f>D21</f>
        <v>242445.6</v>
      </c>
    </row>
    <row r="27" spans="2:7">
      <c r="B27" s="9" t="s">
        <v>17</v>
      </c>
      <c r="C27" s="10" t="s">
        <v>111</v>
      </c>
      <c r="D27" s="202">
        <v>41765.660000000003</v>
      </c>
      <c r="E27" s="224">
        <v>27097.070000000007</v>
      </c>
      <c r="F27" s="71"/>
    </row>
    <row r="28" spans="2:7">
      <c r="B28" s="9" t="s">
        <v>18</v>
      </c>
      <c r="C28" s="10" t="s">
        <v>19</v>
      </c>
      <c r="D28" s="202">
        <v>95999.55</v>
      </c>
      <c r="E28" s="225">
        <v>85914.85</v>
      </c>
      <c r="F28" s="71"/>
    </row>
    <row r="29" spans="2:7">
      <c r="B29" s="182" t="s">
        <v>4</v>
      </c>
      <c r="C29" s="175" t="s">
        <v>20</v>
      </c>
      <c r="D29" s="203">
        <v>95999.55</v>
      </c>
      <c r="E29" s="226">
        <v>85914.85</v>
      </c>
      <c r="F29" s="71"/>
    </row>
    <row r="30" spans="2:7">
      <c r="B30" s="182" t="s">
        <v>6</v>
      </c>
      <c r="C30" s="175" t="s">
        <v>21</v>
      </c>
      <c r="D30" s="203"/>
      <c r="E30" s="226"/>
      <c r="F30" s="71"/>
      <c r="G30" s="320"/>
    </row>
    <row r="31" spans="2:7">
      <c r="B31" s="182" t="s">
        <v>8</v>
      </c>
      <c r="C31" s="175" t="s">
        <v>22</v>
      </c>
      <c r="D31" s="203"/>
      <c r="E31" s="226"/>
      <c r="F31" s="71"/>
    </row>
    <row r="32" spans="2:7">
      <c r="B32" s="92" t="s">
        <v>23</v>
      </c>
      <c r="C32" s="11" t="s">
        <v>24</v>
      </c>
      <c r="D32" s="202">
        <v>54233.89</v>
      </c>
      <c r="E32" s="225">
        <v>58817.78</v>
      </c>
      <c r="F32" s="71"/>
    </row>
    <row r="33" spans="2:7">
      <c r="B33" s="182" t="s">
        <v>4</v>
      </c>
      <c r="C33" s="175" t="s">
        <v>25</v>
      </c>
      <c r="D33" s="203">
        <v>31320.78</v>
      </c>
      <c r="E33" s="226">
        <v>45288.74</v>
      </c>
      <c r="F33" s="71"/>
    </row>
    <row r="34" spans="2:7">
      <c r="B34" s="182" t="s">
        <v>6</v>
      </c>
      <c r="C34" s="175" t="s">
        <v>26</v>
      </c>
      <c r="D34" s="203"/>
      <c r="E34" s="226"/>
      <c r="F34" s="71"/>
      <c r="G34" s="173"/>
    </row>
    <row r="35" spans="2:7">
      <c r="B35" s="182" t="s">
        <v>8</v>
      </c>
      <c r="C35" s="175" t="s">
        <v>27</v>
      </c>
      <c r="D35" s="203">
        <v>7650.77</v>
      </c>
      <c r="E35" s="226">
        <v>6578.66</v>
      </c>
      <c r="F35" s="71"/>
    </row>
    <row r="36" spans="2:7">
      <c r="B36" s="182" t="s">
        <v>9</v>
      </c>
      <c r="C36" s="175" t="s">
        <v>28</v>
      </c>
      <c r="D36" s="203"/>
      <c r="E36" s="226"/>
      <c r="F36" s="71"/>
    </row>
    <row r="37" spans="2:7" ht="25.5">
      <c r="B37" s="182" t="s">
        <v>29</v>
      </c>
      <c r="C37" s="175" t="s">
        <v>30</v>
      </c>
      <c r="D37" s="203"/>
      <c r="E37" s="226"/>
      <c r="F37" s="71"/>
    </row>
    <row r="38" spans="2:7">
      <c r="B38" s="182" t="s">
        <v>31</v>
      </c>
      <c r="C38" s="175" t="s">
        <v>32</v>
      </c>
      <c r="D38" s="203"/>
      <c r="E38" s="226"/>
      <c r="F38" s="71"/>
    </row>
    <row r="39" spans="2:7">
      <c r="B39" s="183" t="s">
        <v>33</v>
      </c>
      <c r="C39" s="184" t="s">
        <v>34</v>
      </c>
      <c r="D39" s="204">
        <v>15262.34</v>
      </c>
      <c r="E39" s="227">
        <v>6950.3800000000492</v>
      </c>
      <c r="F39" s="71"/>
    </row>
    <row r="40" spans="2:7" ht="13.5" thickBot="1">
      <c r="B40" s="97" t="s">
        <v>35</v>
      </c>
      <c r="C40" s="98" t="s">
        <v>36</v>
      </c>
      <c r="D40" s="205">
        <v>-37975.54</v>
      </c>
      <c r="E40" s="232">
        <f>-5657.44-189.26</f>
        <v>-5846.7</v>
      </c>
    </row>
    <row r="41" spans="2:7" ht="13.5" thickBot="1">
      <c r="B41" s="99" t="s">
        <v>37</v>
      </c>
      <c r="C41" s="100" t="s">
        <v>38</v>
      </c>
      <c r="D41" s="206">
        <v>242445.6</v>
      </c>
      <c r="E41" s="148">
        <f>E26+E27+E40</f>
        <v>263695.97000000003</v>
      </c>
      <c r="F41" s="77"/>
    </row>
    <row r="42" spans="2:7">
      <c r="B42" s="93"/>
      <c r="C42" s="93"/>
      <c r="D42" s="94"/>
      <c r="E42" s="94"/>
      <c r="F42" s="77"/>
    </row>
    <row r="43" spans="2:7" ht="13.5">
      <c r="B43" s="362" t="s">
        <v>60</v>
      </c>
      <c r="C43" s="363"/>
      <c r="D43" s="363"/>
      <c r="E43" s="363"/>
    </row>
    <row r="44" spans="2:7" ht="15.75" customHeight="1" thickBot="1">
      <c r="B44" s="360" t="s">
        <v>121</v>
      </c>
      <c r="C44" s="364"/>
      <c r="D44" s="364"/>
      <c r="E44" s="364"/>
    </row>
    <row r="45" spans="2:7" ht="13.5" thickBot="1">
      <c r="B45" s="86"/>
      <c r="C45" s="29" t="s">
        <v>39</v>
      </c>
      <c r="D45" s="70" t="s">
        <v>125</v>
      </c>
      <c r="E45" s="319" t="s">
        <v>268</v>
      </c>
    </row>
    <row r="46" spans="2:7">
      <c r="B46" s="13" t="s">
        <v>18</v>
      </c>
      <c r="C46" s="30" t="s">
        <v>112</v>
      </c>
      <c r="D46" s="101"/>
      <c r="E46" s="28"/>
    </row>
    <row r="47" spans="2:7">
      <c r="B47" s="102" t="s">
        <v>4</v>
      </c>
      <c r="C47" s="15" t="s">
        <v>40</v>
      </c>
      <c r="D47" s="207">
        <v>26187.101900000001</v>
      </c>
      <c r="E47" s="73">
        <v>30961.049299999999</v>
      </c>
    </row>
    <row r="48" spans="2:7">
      <c r="B48" s="123" t="s">
        <v>6</v>
      </c>
      <c r="C48" s="22" t="s">
        <v>41</v>
      </c>
      <c r="D48" s="207">
        <v>30961.049299999999</v>
      </c>
      <c r="E48" s="272">
        <v>34295.900099999999</v>
      </c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02" t="s">
        <v>4</v>
      </c>
      <c r="C50" s="15" t="s">
        <v>40</v>
      </c>
      <c r="D50" s="207">
        <v>9.1134742939996691</v>
      </c>
      <c r="E50" s="73">
        <v>7.8306648347347796</v>
      </c>
    </row>
    <row r="51" spans="2:5">
      <c r="B51" s="102" t="s">
        <v>6</v>
      </c>
      <c r="C51" s="15" t="s">
        <v>114</v>
      </c>
      <c r="D51" s="207">
        <v>7.8175999999999997</v>
      </c>
      <c r="E51" s="75">
        <v>6.9893000000000001</v>
      </c>
    </row>
    <row r="52" spans="2:5">
      <c r="B52" s="102" t="s">
        <v>8</v>
      </c>
      <c r="C52" s="15" t="s">
        <v>115</v>
      </c>
      <c r="D52" s="207">
        <v>9.3289000000000009</v>
      </c>
      <c r="E52" s="75">
        <v>8.4795999999999996</v>
      </c>
    </row>
    <row r="53" spans="2:5" ht="13.5" thickBot="1">
      <c r="B53" s="103" t="s">
        <v>9</v>
      </c>
      <c r="C53" s="17" t="s">
        <v>41</v>
      </c>
      <c r="D53" s="209">
        <v>7.8306648347347796</v>
      </c>
      <c r="E53" s="233">
        <v>7.6886000000000001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6.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SUM(D59:D70)</f>
        <v>262321.58</v>
      </c>
      <c r="E58" s="31">
        <f>D58/E21</f>
        <v>0.99478797495464211</v>
      </c>
    </row>
    <row r="59" spans="2:5" ht="25.5">
      <c r="B59" s="21" t="s">
        <v>4</v>
      </c>
      <c r="C59" s="22" t="s">
        <v>44</v>
      </c>
      <c r="D59" s="80">
        <v>0</v>
      </c>
      <c r="E59" s="81">
        <v>0</v>
      </c>
    </row>
    <row r="60" spans="2:5" ht="24" customHeight="1">
      <c r="B60" s="14" t="s">
        <v>6</v>
      </c>
      <c r="C60" s="15" t="s">
        <v>45</v>
      </c>
      <c r="D60" s="78">
        <v>0</v>
      </c>
      <c r="E60" s="79">
        <v>0</v>
      </c>
    </row>
    <row r="61" spans="2:5">
      <c r="B61" s="14" t="s">
        <v>8</v>
      </c>
      <c r="C61" s="15" t="s">
        <v>46</v>
      </c>
      <c r="D61" s="78">
        <v>0</v>
      </c>
      <c r="E61" s="79">
        <v>0</v>
      </c>
    </row>
    <row r="62" spans="2:5">
      <c r="B62" s="14" t="s">
        <v>9</v>
      </c>
      <c r="C62" s="15" t="s">
        <v>47</v>
      </c>
      <c r="D62" s="78">
        <v>239333.23</v>
      </c>
      <c r="E62" s="79">
        <f>D62/E21</f>
        <v>0.90761049552634432</v>
      </c>
    </row>
    <row r="63" spans="2:5">
      <c r="B63" s="14" t="s">
        <v>29</v>
      </c>
      <c r="C63" s="15" t="s">
        <v>48</v>
      </c>
      <c r="D63" s="78">
        <v>0</v>
      </c>
      <c r="E63" s="79">
        <v>0</v>
      </c>
    </row>
    <row r="64" spans="2:5">
      <c r="B64" s="21" t="s">
        <v>31</v>
      </c>
      <c r="C64" s="22" t="s">
        <v>49</v>
      </c>
      <c r="D64" s="269">
        <v>0</v>
      </c>
      <c r="E64" s="81">
        <f>D64/E21</f>
        <v>0</v>
      </c>
    </row>
    <row r="65" spans="2:5">
      <c r="B65" s="21" t="s">
        <v>33</v>
      </c>
      <c r="C65" s="22" t="s">
        <v>118</v>
      </c>
      <c r="D65" s="80">
        <v>0</v>
      </c>
      <c r="E65" s="81">
        <v>0</v>
      </c>
    </row>
    <row r="66" spans="2:5">
      <c r="B66" s="21" t="s">
        <v>50</v>
      </c>
      <c r="C66" s="22" t="s">
        <v>51</v>
      </c>
      <c r="D66" s="80">
        <v>0</v>
      </c>
      <c r="E66" s="81">
        <v>0</v>
      </c>
    </row>
    <row r="67" spans="2:5">
      <c r="B67" s="14" t="s">
        <v>52</v>
      </c>
      <c r="C67" s="15" t="s">
        <v>53</v>
      </c>
      <c r="D67" s="78">
        <v>0</v>
      </c>
      <c r="E67" s="79">
        <v>0</v>
      </c>
    </row>
    <row r="68" spans="2:5">
      <c r="B68" s="14" t="s">
        <v>54</v>
      </c>
      <c r="C68" s="15" t="s">
        <v>55</v>
      </c>
      <c r="D68" s="78">
        <v>0</v>
      </c>
      <c r="E68" s="79">
        <v>0</v>
      </c>
    </row>
    <row r="69" spans="2:5">
      <c r="B69" s="14" t="s">
        <v>56</v>
      </c>
      <c r="C69" s="15" t="s">
        <v>57</v>
      </c>
      <c r="D69" s="286">
        <v>22988.35</v>
      </c>
      <c r="E69" s="79">
        <f>D69/E21</f>
        <v>8.7177479428297677E-2</v>
      </c>
    </row>
    <row r="70" spans="2:5">
      <c r="B70" s="112" t="s">
        <v>58</v>
      </c>
      <c r="C70" s="113" t="s">
        <v>59</v>
      </c>
      <c r="D70" s="114">
        <v>0</v>
      </c>
      <c r="E70" s="115">
        <v>0</v>
      </c>
    </row>
    <row r="71" spans="2:5">
      <c r="B71" s="120" t="s">
        <v>23</v>
      </c>
      <c r="C71" s="121" t="s">
        <v>61</v>
      </c>
      <c r="D71" s="122">
        <f>E13</f>
        <v>932.3</v>
      </c>
      <c r="E71" s="66">
        <f>D71/E21</f>
        <v>3.5355109901755422E-3</v>
      </c>
    </row>
    <row r="72" spans="2:5">
      <c r="B72" s="116" t="s">
        <v>60</v>
      </c>
      <c r="C72" s="117" t="s">
        <v>63</v>
      </c>
      <c r="D72" s="118">
        <f>E14</f>
        <v>1210.6600000000001</v>
      </c>
      <c r="E72" s="119">
        <f>D72/E21</f>
        <v>4.5911205999849001E-3</v>
      </c>
    </row>
    <row r="73" spans="2:5">
      <c r="B73" s="23" t="s">
        <v>62</v>
      </c>
      <c r="C73" s="24" t="s">
        <v>65</v>
      </c>
      <c r="D73" s="25">
        <f>E17</f>
        <v>768.57</v>
      </c>
      <c r="E73" s="26">
        <f>D73/E21</f>
        <v>2.9146065448023349E-3</v>
      </c>
    </row>
    <row r="74" spans="2:5">
      <c r="B74" s="120" t="s">
        <v>64</v>
      </c>
      <c r="C74" s="121" t="s">
        <v>66</v>
      </c>
      <c r="D74" s="122">
        <f>D58+D71+D72-D73</f>
        <v>263695.96999999997</v>
      </c>
      <c r="E74" s="66">
        <f>E58+E71+E72-E73</f>
        <v>1.0000000000000004</v>
      </c>
    </row>
    <row r="75" spans="2:5">
      <c r="B75" s="14" t="s">
        <v>4</v>
      </c>
      <c r="C75" s="15" t="s">
        <v>67</v>
      </c>
      <c r="D75" s="78">
        <f>38752.4+D72+D69-D73+D71</f>
        <v>63115.140000000007</v>
      </c>
      <c r="E75" s="79">
        <f>D75/E21</f>
        <v>0.23934814020858952</v>
      </c>
    </row>
    <row r="76" spans="2:5">
      <c r="B76" s="14" t="s">
        <v>6</v>
      </c>
      <c r="C76" s="15" t="s">
        <v>119</v>
      </c>
      <c r="D76" s="78">
        <v>0</v>
      </c>
      <c r="E76" s="79">
        <f>D76/E21</f>
        <v>0</v>
      </c>
    </row>
    <row r="77" spans="2:5" ht="13.5" thickBot="1">
      <c r="B77" s="16" t="s">
        <v>8</v>
      </c>
      <c r="C77" s="17" t="s">
        <v>120</v>
      </c>
      <c r="D77" s="82">
        <f>200580.83</f>
        <v>200580.83</v>
      </c>
      <c r="E77" s="83">
        <f>D77/E21</f>
        <v>0.76065185979141059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9"/>
  <dimension ref="A1:F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141"/>
      <c r="C4" s="141"/>
      <c r="D4" s="141"/>
      <c r="E4" s="141"/>
    </row>
    <row r="5" spans="2:5" ht="21" customHeight="1">
      <c r="B5" s="358" t="s">
        <v>1</v>
      </c>
      <c r="C5" s="358"/>
      <c r="D5" s="358"/>
      <c r="E5" s="358"/>
    </row>
    <row r="6" spans="2:5" ht="14.25">
      <c r="B6" s="359" t="s">
        <v>223</v>
      </c>
      <c r="C6" s="359"/>
      <c r="D6" s="359"/>
      <c r="E6" s="359"/>
    </row>
    <row r="7" spans="2:5" ht="14.25">
      <c r="B7" s="139"/>
      <c r="C7" s="139"/>
      <c r="D7" s="139"/>
      <c r="E7" s="139"/>
    </row>
    <row r="8" spans="2:5" ht="13.5">
      <c r="B8" s="361" t="s">
        <v>18</v>
      </c>
      <c r="C8" s="363"/>
      <c r="D8" s="363"/>
      <c r="E8" s="363"/>
    </row>
    <row r="9" spans="2:5" ht="16.5" thickBot="1">
      <c r="B9" s="360" t="s">
        <v>103</v>
      </c>
      <c r="C9" s="360"/>
      <c r="D9" s="360"/>
      <c r="E9" s="360"/>
    </row>
    <row r="10" spans="2:5" ht="13.5" thickBot="1">
      <c r="B10" s="140"/>
      <c r="C10" s="76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28" t="s">
        <v>109</v>
      </c>
      <c r="D11" s="243">
        <v>5828461.5199999996</v>
      </c>
      <c r="E11" s="244">
        <f>SUM(E12:E14)</f>
        <v>4965104.53</v>
      </c>
    </row>
    <row r="12" spans="2:5">
      <c r="B12" s="174" t="s">
        <v>4</v>
      </c>
      <c r="C12" s="175" t="s">
        <v>5</v>
      </c>
      <c r="D12" s="283">
        <v>5828461.5199999996</v>
      </c>
      <c r="E12" s="304">
        <v>4965104.53</v>
      </c>
    </row>
    <row r="13" spans="2:5">
      <c r="B13" s="174" t="s">
        <v>6</v>
      </c>
      <c r="C13" s="176" t="s">
        <v>7</v>
      </c>
      <c r="D13" s="276"/>
      <c r="E13" s="305"/>
    </row>
    <row r="14" spans="2:5">
      <c r="B14" s="174" t="s">
        <v>8</v>
      </c>
      <c r="C14" s="176" t="s">
        <v>10</v>
      </c>
      <c r="D14" s="276"/>
      <c r="E14" s="305"/>
    </row>
    <row r="15" spans="2:5">
      <c r="B15" s="174" t="s">
        <v>106</v>
      </c>
      <c r="C15" s="176" t="s">
        <v>11</v>
      </c>
      <c r="D15" s="276"/>
      <c r="E15" s="305"/>
    </row>
    <row r="16" spans="2:5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5828461.5199999996</v>
      </c>
      <c r="E21" s="148">
        <f>E11-E17</f>
        <v>4965104.53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10312940.49</v>
      </c>
      <c r="E26" s="231">
        <f>D21</f>
        <v>5828461.5199999996</v>
      </c>
    </row>
    <row r="27" spans="2:6">
      <c r="B27" s="9" t="s">
        <v>17</v>
      </c>
      <c r="C27" s="10" t="s">
        <v>111</v>
      </c>
      <c r="D27" s="202">
        <v>-2714090.54</v>
      </c>
      <c r="E27" s="224">
        <v>-1738665.04</v>
      </c>
      <c r="F27" s="71"/>
    </row>
    <row r="28" spans="2:6">
      <c r="B28" s="9" t="s">
        <v>18</v>
      </c>
      <c r="C28" s="10" t="s">
        <v>19</v>
      </c>
      <c r="D28" s="202">
        <v>0</v>
      </c>
      <c r="E28" s="225">
        <v>30399.220000000671</v>
      </c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/>
      <c r="E31" s="226">
        <v>30399.220000000671</v>
      </c>
      <c r="F31" s="71"/>
    </row>
    <row r="32" spans="2:6">
      <c r="B32" s="92" t="s">
        <v>23</v>
      </c>
      <c r="C32" s="11" t="s">
        <v>24</v>
      </c>
      <c r="D32" s="202">
        <v>2714090.54</v>
      </c>
      <c r="E32" s="225">
        <v>1769064.2600000002</v>
      </c>
      <c r="F32" s="71"/>
    </row>
    <row r="33" spans="2:6">
      <c r="B33" s="182" t="s">
        <v>4</v>
      </c>
      <c r="C33" s="175" t="s">
        <v>25</v>
      </c>
      <c r="D33" s="203">
        <v>1536249.71</v>
      </c>
      <c r="E33" s="226">
        <v>1092420.81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50793.86</v>
      </c>
      <c r="E35" s="226">
        <v>53629.67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128731.91</v>
      </c>
      <c r="E37" s="226">
        <v>92986.12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>
        <v>998315.06</v>
      </c>
      <c r="E39" s="227">
        <v>530027.66</v>
      </c>
      <c r="F39" s="71"/>
    </row>
    <row r="40" spans="2:6" ht="13.5" thickBot="1">
      <c r="B40" s="97" t="s">
        <v>35</v>
      </c>
      <c r="C40" s="98" t="s">
        <v>36</v>
      </c>
      <c r="D40" s="205">
        <v>-1770388.43</v>
      </c>
      <c r="E40" s="232">
        <v>875308.05</v>
      </c>
    </row>
    <row r="41" spans="2:6" ht="13.5" thickBot="1">
      <c r="B41" s="99" t="s">
        <v>37</v>
      </c>
      <c r="C41" s="100" t="s">
        <v>38</v>
      </c>
      <c r="D41" s="206">
        <v>5828461.5200000005</v>
      </c>
      <c r="E41" s="148">
        <f>E26+E27+E40</f>
        <v>4965104.5299999993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129738.8412</v>
      </c>
      <c r="E47" s="149">
        <v>92721.309500000003</v>
      </c>
    </row>
    <row r="48" spans="2:6">
      <c r="B48" s="187" t="s">
        <v>6</v>
      </c>
      <c r="C48" s="188" t="s">
        <v>41</v>
      </c>
      <c r="D48" s="207">
        <v>92721.309500000003</v>
      </c>
      <c r="E48" s="149">
        <v>67442.332699999999</v>
      </c>
    </row>
    <row r="49" spans="2:5">
      <c r="B49" s="120" t="s">
        <v>23</v>
      </c>
      <c r="C49" s="124" t="s">
        <v>113</v>
      </c>
      <c r="D49" s="208"/>
      <c r="E49" s="149"/>
    </row>
    <row r="50" spans="2:5">
      <c r="B50" s="185" t="s">
        <v>4</v>
      </c>
      <c r="C50" s="186" t="s">
        <v>40</v>
      </c>
      <c r="D50" s="207">
        <v>79.489999999999995</v>
      </c>
      <c r="E50" s="149">
        <v>62.86</v>
      </c>
    </row>
    <row r="51" spans="2:5">
      <c r="B51" s="185" t="s">
        <v>6</v>
      </c>
      <c r="C51" s="186" t="s">
        <v>114</v>
      </c>
      <c r="D51" s="207">
        <v>62.11</v>
      </c>
      <c r="E51" s="149">
        <v>62.86</v>
      </c>
    </row>
    <row r="52" spans="2:5">
      <c r="B52" s="185" t="s">
        <v>8</v>
      </c>
      <c r="C52" s="186" t="s">
        <v>115</v>
      </c>
      <c r="D52" s="207">
        <v>82.94</v>
      </c>
      <c r="E52" s="75">
        <v>74.099999999999994</v>
      </c>
    </row>
    <row r="53" spans="2:5" ht="14.25" customHeight="1" thickBot="1">
      <c r="B53" s="189" t="s">
        <v>9</v>
      </c>
      <c r="C53" s="190" t="s">
        <v>41</v>
      </c>
      <c r="D53" s="209">
        <v>62.86</v>
      </c>
      <c r="E53" s="233">
        <v>73.62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5.7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4965104.53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4965104.53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4965104.53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4965104.53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9055118110236227" right="0.74803149606299213" top="0.59055118110236227" bottom="0.47244094488188981" header="0.51181102362204722" footer="0.51181102362204722"/>
  <pageSetup paperSize="9" scale="70" orientation="portrait" r:id="rId1"/>
  <headerFooter alignWithMargins="0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0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41"/>
      <c r="C4" s="141"/>
      <c r="D4" s="141"/>
      <c r="E4" s="141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224</v>
      </c>
      <c r="C6" s="359"/>
      <c r="D6" s="359"/>
      <c r="E6" s="359"/>
    </row>
    <row r="7" spans="2:7" ht="14.25">
      <c r="B7" s="139"/>
      <c r="C7" s="139"/>
      <c r="D7" s="139"/>
      <c r="E7" s="139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40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40117.21</v>
      </c>
      <c r="E11" s="244">
        <f>SUM(E12:E14)</f>
        <v>39683.35</v>
      </c>
    </row>
    <row r="12" spans="2:7">
      <c r="B12" s="174" t="s">
        <v>4</v>
      </c>
      <c r="C12" s="175" t="s">
        <v>5</v>
      </c>
      <c r="D12" s="283">
        <v>40117.21</v>
      </c>
      <c r="E12" s="304">
        <v>39683.35</v>
      </c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40117.21</v>
      </c>
      <c r="E21" s="148">
        <f>E11-E17</f>
        <v>39683.35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47681.71</v>
      </c>
      <c r="E26" s="231">
        <f>D21</f>
        <v>40117.21</v>
      </c>
    </row>
    <row r="27" spans="2:6">
      <c r="B27" s="9" t="s">
        <v>17</v>
      </c>
      <c r="C27" s="10" t="s">
        <v>111</v>
      </c>
      <c r="D27" s="202">
        <v>-966.05</v>
      </c>
      <c r="E27" s="224">
        <v>-980.79</v>
      </c>
      <c r="F27" s="71"/>
    </row>
    <row r="28" spans="2:6">
      <c r="B28" s="9" t="s">
        <v>18</v>
      </c>
      <c r="C28" s="10" t="s">
        <v>19</v>
      </c>
      <c r="D28" s="202">
        <v>0</v>
      </c>
      <c r="E28" s="225">
        <v>0</v>
      </c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/>
      <c r="E31" s="226"/>
      <c r="F31" s="71"/>
    </row>
    <row r="32" spans="2:6">
      <c r="B32" s="92" t="s">
        <v>23</v>
      </c>
      <c r="C32" s="11" t="s">
        <v>24</v>
      </c>
      <c r="D32" s="202">
        <v>966.05</v>
      </c>
      <c r="E32" s="225">
        <v>980.79</v>
      </c>
      <c r="F32" s="71"/>
    </row>
    <row r="33" spans="2:6">
      <c r="B33" s="182" t="s">
        <v>4</v>
      </c>
      <c r="C33" s="175" t="s">
        <v>25</v>
      </c>
      <c r="D33" s="203"/>
      <c r="E33" s="226"/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268.33</v>
      </c>
      <c r="E35" s="226">
        <v>334.99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697.72</v>
      </c>
      <c r="E37" s="226">
        <v>645.79999999999995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/>
      <c r="E39" s="227"/>
      <c r="F39" s="71"/>
    </row>
    <row r="40" spans="2:6" ht="13.5" thickBot="1">
      <c r="B40" s="97" t="s">
        <v>35</v>
      </c>
      <c r="C40" s="98" t="s">
        <v>36</v>
      </c>
      <c r="D40" s="205">
        <v>-6598.45</v>
      </c>
      <c r="E40" s="232">
        <v>546.92999999999995</v>
      </c>
    </row>
    <row r="41" spans="2:6" ht="13.5" thickBot="1">
      <c r="B41" s="99" t="s">
        <v>37</v>
      </c>
      <c r="C41" s="100" t="s">
        <v>38</v>
      </c>
      <c r="D41" s="206">
        <v>40117.21</v>
      </c>
      <c r="E41" s="148">
        <f>E26+E27+E40</f>
        <v>39683.35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591.07119999999998</v>
      </c>
      <c r="E47" s="149">
        <v>578.05780000000004</v>
      </c>
    </row>
    <row r="48" spans="2:6">
      <c r="B48" s="187" t="s">
        <v>6</v>
      </c>
      <c r="C48" s="188" t="s">
        <v>41</v>
      </c>
      <c r="D48" s="207">
        <v>578.05780000000004</v>
      </c>
      <c r="E48" s="149">
        <v>564.16480000000001</v>
      </c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85" t="s">
        <v>4</v>
      </c>
      <c r="C50" s="186" t="s">
        <v>40</v>
      </c>
      <c r="D50" s="207">
        <v>80.67</v>
      </c>
      <c r="E50" s="149">
        <v>69.400000000000006</v>
      </c>
    </row>
    <row r="51" spans="2:5">
      <c r="B51" s="185" t="s">
        <v>6</v>
      </c>
      <c r="C51" s="186" t="s">
        <v>114</v>
      </c>
      <c r="D51" s="207">
        <v>68.03</v>
      </c>
      <c r="E51" s="75">
        <v>68.569999999999993</v>
      </c>
    </row>
    <row r="52" spans="2:5">
      <c r="B52" s="185" t="s">
        <v>8</v>
      </c>
      <c r="C52" s="186" t="s">
        <v>115</v>
      </c>
      <c r="D52" s="207">
        <v>83.41</v>
      </c>
      <c r="E52" s="75">
        <v>72.14</v>
      </c>
    </row>
    <row r="53" spans="2:5" ht="13.5" customHeight="1" thickBot="1">
      <c r="B53" s="189" t="s">
        <v>9</v>
      </c>
      <c r="C53" s="190" t="s">
        <v>41</v>
      </c>
      <c r="D53" s="209">
        <v>69.400000000000006</v>
      </c>
      <c r="E53" s="233">
        <v>70.34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6.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39683.35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39683.35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39683.35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39683.35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1"/>
  <dimension ref="A1:F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141"/>
      <c r="C4" s="141"/>
      <c r="D4" s="141"/>
      <c r="E4" s="141"/>
    </row>
    <row r="5" spans="2:5" ht="21" customHeight="1">
      <c r="B5" s="358" t="s">
        <v>1</v>
      </c>
      <c r="C5" s="358"/>
      <c r="D5" s="358"/>
      <c r="E5" s="358"/>
    </row>
    <row r="6" spans="2:5" ht="14.25">
      <c r="B6" s="359" t="s">
        <v>225</v>
      </c>
      <c r="C6" s="359"/>
      <c r="D6" s="359"/>
      <c r="E6" s="359"/>
    </row>
    <row r="7" spans="2:5" ht="14.25">
      <c r="B7" s="139"/>
      <c r="C7" s="139"/>
      <c r="D7" s="139"/>
      <c r="E7" s="139"/>
    </row>
    <row r="8" spans="2:5" ht="13.5">
      <c r="B8" s="361" t="s">
        <v>18</v>
      </c>
      <c r="C8" s="363"/>
      <c r="D8" s="363"/>
      <c r="E8" s="363"/>
    </row>
    <row r="9" spans="2:5" ht="16.5" thickBot="1">
      <c r="B9" s="360" t="s">
        <v>103</v>
      </c>
      <c r="C9" s="360"/>
      <c r="D9" s="360"/>
      <c r="E9" s="360"/>
    </row>
    <row r="10" spans="2:5" ht="13.5" thickBot="1">
      <c r="B10" s="140"/>
      <c r="C10" s="76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28" t="s">
        <v>109</v>
      </c>
      <c r="D11" s="243">
        <v>415054.71</v>
      </c>
      <c r="E11" s="244">
        <f>SUM(E12:E14)</f>
        <v>377328.9</v>
      </c>
    </row>
    <row r="12" spans="2:5">
      <c r="B12" s="174" t="s">
        <v>4</v>
      </c>
      <c r="C12" s="175" t="s">
        <v>5</v>
      </c>
      <c r="D12" s="283">
        <v>415054.71</v>
      </c>
      <c r="E12" s="304">
        <v>377328.9</v>
      </c>
    </row>
    <row r="13" spans="2:5">
      <c r="B13" s="174" t="s">
        <v>6</v>
      </c>
      <c r="C13" s="176" t="s">
        <v>7</v>
      </c>
      <c r="D13" s="276"/>
      <c r="E13" s="305"/>
    </row>
    <row r="14" spans="2:5">
      <c r="B14" s="174" t="s">
        <v>8</v>
      </c>
      <c r="C14" s="176" t="s">
        <v>10</v>
      </c>
      <c r="D14" s="276"/>
      <c r="E14" s="305"/>
    </row>
    <row r="15" spans="2:5">
      <c r="B15" s="174" t="s">
        <v>106</v>
      </c>
      <c r="C15" s="176" t="s">
        <v>11</v>
      </c>
      <c r="D15" s="276"/>
      <c r="E15" s="305"/>
    </row>
    <row r="16" spans="2:5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415054.71</v>
      </c>
      <c r="E21" s="148">
        <f>E11-E17</f>
        <v>377328.9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466219.31</v>
      </c>
      <c r="E26" s="231">
        <f>D21</f>
        <v>415054.71</v>
      </c>
    </row>
    <row r="27" spans="2:6">
      <c r="B27" s="9" t="s">
        <v>17</v>
      </c>
      <c r="C27" s="10" t="s">
        <v>111</v>
      </c>
      <c r="D27" s="202">
        <v>-7258.45</v>
      </c>
      <c r="E27" s="224">
        <v>-131711.23000000001</v>
      </c>
      <c r="F27" s="71"/>
    </row>
    <row r="28" spans="2:6">
      <c r="B28" s="9" t="s">
        <v>18</v>
      </c>
      <c r="C28" s="10" t="s">
        <v>19</v>
      </c>
      <c r="D28" s="202">
        <v>0</v>
      </c>
      <c r="E28" s="225">
        <v>0</v>
      </c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/>
      <c r="E31" s="226"/>
      <c r="F31" s="71"/>
    </row>
    <row r="32" spans="2:6">
      <c r="B32" s="92" t="s">
        <v>23</v>
      </c>
      <c r="C32" s="11" t="s">
        <v>24</v>
      </c>
      <c r="D32" s="202">
        <v>7258.45</v>
      </c>
      <c r="E32" s="225">
        <v>131711.23000000001</v>
      </c>
      <c r="F32" s="71"/>
    </row>
    <row r="33" spans="2:6">
      <c r="B33" s="182" t="s">
        <v>4</v>
      </c>
      <c r="C33" s="175" t="s">
        <v>25</v>
      </c>
      <c r="D33" s="203"/>
      <c r="E33" s="226">
        <v>125295.38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47.15</v>
      </c>
      <c r="E35" s="226">
        <v>45.46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7211.3</v>
      </c>
      <c r="E37" s="226">
        <v>6370.39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/>
      <c r="E39" s="227"/>
      <c r="F39" s="71"/>
    </row>
    <row r="40" spans="2:6" ht="13.5" thickBot="1">
      <c r="B40" s="97" t="s">
        <v>35</v>
      </c>
      <c r="C40" s="98" t="s">
        <v>36</v>
      </c>
      <c r="D40" s="205">
        <v>-43906.15</v>
      </c>
      <c r="E40" s="232">
        <v>93985.42</v>
      </c>
    </row>
    <row r="41" spans="2:6" ht="13.5" thickBot="1">
      <c r="B41" s="99" t="s">
        <v>37</v>
      </c>
      <c r="C41" s="100" t="s">
        <v>38</v>
      </c>
      <c r="D41" s="206">
        <v>415054.70999999996</v>
      </c>
      <c r="E41" s="148">
        <f>E26+E27+E40</f>
        <v>377328.89999999997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2285.5007999999998</v>
      </c>
      <c r="E47" s="73">
        <v>2248.8877000000002</v>
      </c>
    </row>
    <row r="48" spans="2:6">
      <c r="B48" s="187" t="s">
        <v>6</v>
      </c>
      <c r="C48" s="188" t="s">
        <v>41</v>
      </c>
      <c r="D48" s="207">
        <v>2248.8877000000002</v>
      </c>
      <c r="E48" s="149">
        <v>1646.0712000000001</v>
      </c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85" t="s">
        <v>4</v>
      </c>
      <c r="C50" s="186" t="s">
        <v>40</v>
      </c>
      <c r="D50" s="207">
        <v>203.99</v>
      </c>
      <c r="E50" s="75">
        <v>184.56</v>
      </c>
    </row>
    <row r="51" spans="2:5">
      <c r="B51" s="185" t="s">
        <v>6</v>
      </c>
      <c r="C51" s="186" t="s">
        <v>114</v>
      </c>
      <c r="D51" s="207">
        <v>181.8</v>
      </c>
      <c r="E51" s="75">
        <v>183.66</v>
      </c>
    </row>
    <row r="52" spans="2:5">
      <c r="B52" s="185" t="s">
        <v>8</v>
      </c>
      <c r="C52" s="186" t="s">
        <v>115</v>
      </c>
      <c r="D52" s="207">
        <v>209.03</v>
      </c>
      <c r="E52" s="75">
        <v>231.17</v>
      </c>
    </row>
    <row r="53" spans="2:5" ht="14.25" customHeight="1" thickBot="1">
      <c r="B53" s="189" t="s">
        <v>9</v>
      </c>
      <c r="C53" s="190" t="s">
        <v>41</v>
      </c>
      <c r="D53" s="209">
        <v>184.56</v>
      </c>
      <c r="E53" s="233">
        <v>229.23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4.25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377328.9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377328.9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377328.9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377328.9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2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47"/>
      <c r="C4" s="147"/>
      <c r="D4" s="147"/>
      <c r="E4" s="147"/>
    </row>
    <row r="5" spans="2:7" ht="14.25">
      <c r="B5" s="358" t="s">
        <v>1</v>
      </c>
      <c r="C5" s="358"/>
      <c r="D5" s="358"/>
      <c r="E5" s="358"/>
    </row>
    <row r="6" spans="2:7" ht="14.25">
      <c r="B6" s="359" t="s">
        <v>226</v>
      </c>
      <c r="C6" s="359"/>
      <c r="D6" s="359"/>
      <c r="E6" s="359"/>
    </row>
    <row r="7" spans="2:7" ht="14.25">
      <c r="B7" s="153"/>
      <c r="C7" s="153"/>
      <c r="D7" s="153"/>
      <c r="E7" s="153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54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16298.56</v>
      </c>
      <c r="E11" s="244">
        <f>SUM(E12:E14)</f>
        <v>17122.150000000001</v>
      </c>
    </row>
    <row r="12" spans="2:7">
      <c r="B12" s="174" t="s">
        <v>4</v>
      </c>
      <c r="C12" s="175" t="s">
        <v>5</v>
      </c>
      <c r="D12" s="283">
        <v>16298.56</v>
      </c>
      <c r="E12" s="304">
        <v>17122.150000000001</v>
      </c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16298.56</v>
      </c>
      <c r="E21" s="148">
        <f>E11-E17</f>
        <v>17122.150000000001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37263.589999999997</v>
      </c>
      <c r="E26" s="231">
        <f>D21</f>
        <v>16298.56</v>
      </c>
    </row>
    <row r="27" spans="2:6">
      <c r="B27" s="9" t="s">
        <v>17</v>
      </c>
      <c r="C27" s="10" t="s">
        <v>111</v>
      </c>
      <c r="D27" s="202">
        <v>-21770.16</v>
      </c>
      <c r="E27" s="224">
        <v>-487.31</v>
      </c>
      <c r="F27" s="71"/>
    </row>
    <row r="28" spans="2:6">
      <c r="B28" s="9" t="s">
        <v>18</v>
      </c>
      <c r="C28" s="10" t="s">
        <v>19</v>
      </c>
      <c r="D28" s="202">
        <v>0</v>
      </c>
      <c r="E28" s="225">
        <v>0</v>
      </c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/>
      <c r="E31" s="226"/>
      <c r="F31" s="71"/>
    </row>
    <row r="32" spans="2:6">
      <c r="B32" s="92" t="s">
        <v>23</v>
      </c>
      <c r="C32" s="11" t="s">
        <v>24</v>
      </c>
      <c r="D32" s="202">
        <v>21770.16</v>
      </c>
      <c r="E32" s="225">
        <v>487.31</v>
      </c>
      <c r="F32" s="71"/>
    </row>
    <row r="33" spans="2:6">
      <c r="B33" s="182" t="s">
        <v>4</v>
      </c>
      <c r="C33" s="175" t="s">
        <v>25</v>
      </c>
      <c r="D33" s="203">
        <v>19073.93</v>
      </c>
      <c r="E33" s="226"/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220.87</v>
      </c>
      <c r="E35" s="226">
        <v>204.1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396.9</v>
      </c>
      <c r="E37" s="226">
        <v>283.20999999999998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>
        <v>2078.46</v>
      </c>
      <c r="E39" s="227"/>
      <c r="F39" s="71"/>
    </row>
    <row r="40" spans="2:6" ht="13.5" thickBot="1">
      <c r="B40" s="97" t="s">
        <v>35</v>
      </c>
      <c r="C40" s="98" t="s">
        <v>36</v>
      </c>
      <c r="D40" s="205">
        <v>805.13</v>
      </c>
      <c r="E40" s="232">
        <v>1310.9</v>
      </c>
    </row>
    <row r="41" spans="2:6" ht="13.5" thickBot="1">
      <c r="B41" s="99" t="s">
        <v>37</v>
      </c>
      <c r="C41" s="100" t="s">
        <v>38</v>
      </c>
      <c r="D41" s="206">
        <v>16298.559999999996</v>
      </c>
      <c r="E41" s="148">
        <f>E26+E27+E40</f>
        <v>17122.150000000001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230.7629</v>
      </c>
      <c r="E47" s="73">
        <v>97.977500000000006</v>
      </c>
    </row>
    <row r="48" spans="2:6">
      <c r="B48" s="187" t="s">
        <v>6</v>
      </c>
      <c r="C48" s="188" t="s">
        <v>41</v>
      </c>
      <c r="D48" s="207">
        <v>97.977500000000006</v>
      </c>
      <c r="E48" s="149">
        <v>95.149500000000003</v>
      </c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85" t="s">
        <v>4</v>
      </c>
      <c r="C50" s="186" t="s">
        <v>40</v>
      </c>
      <c r="D50" s="207">
        <v>161.47999999999999</v>
      </c>
      <c r="E50" s="75">
        <v>166.35</v>
      </c>
    </row>
    <row r="51" spans="2:5">
      <c r="B51" s="185" t="s">
        <v>6</v>
      </c>
      <c r="C51" s="186" t="s">
        <v>114</v>
      </c>
      <c r="D51" s="207">
        <v>161.02000000000001</v>
      </c>
      <c r="E51" s="75">
        <v>166.35</v>
      </c>
    </row>
    <row r="52" spans="2:5">
      <c r="B52" s="185" t="s">
        <v>8</v>
      </c>
      <c r="C52" s="186" t="s">
        <v>115</v>
      </c>
      <c r="D52" s="207">
        <v>166.35</v>
      </c>
      <c r="E52" s="75">
        <v>180.17</v>
      </c>
    </row>
    <row r="53" spans="2:5" ht="13.5" thickBot="1">
      <c r="B53" s="189" t="s">
        <v>9</v>
      </c>
      <c r="C53" s="190" t="s">
        <v>41</v>
      </c>
      <c r="D53" s="209">
        <v>166.35</v>
      </c>
      <c r="E53" s="233">
        <v>179.95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4.25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17122.150000000001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17122.150000000001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17122.150000000001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17122.150000000001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4"/>
  <dimension ref="A1:G81"/>
  <sheetViews>
    <sheetView topLeftCell="A4"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41"/>
      <c r="C4" s="141"/>
      <c r="D4" s="141"/>
      <c r="E4" s="141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227</v>
      </c>
      <c r="C6" s="359"/>
      <c r="D6" s="359"/>
      <c r="E6" s="359"/>
    </row>
    <row r="7" spans="2:7" ht="14.25">
      <c r="B7" s="139"/>
      <c r="C7" s="139"/>
      <c r="D7" s="139"/>
      <c r="E7" s="139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40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31861.9</v>
      </c>
      <c r="E11" s="244">
        <f>SUM(E12:E14)</f>
        <v>17474.71</v>
      </c>
    </row>
    <row r="12" spans="2:7">
      <c r="B12" s="174" t="s">
        <v>4</v>
      </c>
      <c r="C12" s="175" t="s">
        <v>5</v>
      </c>
      <c r="D12" s="283">
        <v>31861.9</v>
      </c>
      <c r="E12" s="304">
        <f>17493.21-18.5</f>
        <v>17474.71</v>
      </c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31861.9</v>
      </c>
      <c r="E21" s="148">
        <f>E11-E17</f>
        <v>17474.71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94410.57</v>
      </c>
      <c r="E26" s="231">
        <f>D21</f>
        <v>31861.9</v>
      </c>
    </row>
    <row r="27" spans="2:6">
      <c r="B27" s="9" t="s">
        <v>17</v>
      </c>
      <c r="C27" s="10" t="s">
        <v>111</v>
      </c>
      <c r="D27" s="202">
        <v>-38894.370000000003</v>
      </c>
      <c r="E27" s="224">
        <f>E28-E32</f>
        <v>-16943.14</v>
      </c>
      <c r="F27" s="71"/>
    </row>
    <row r="28" spans="2:6">
      <c r="B28" s="9" t="s">
        <v>18</v>
      </c>
      <c r="C28" s="10" t="s">
        <v>19</v>
      </c>
      <c r="D28" s="202">
        <v>0</v>
      </c>
      <c r="E28" s="225">
        <v>0</v>
      </c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/>
      <c r="E31" s="226"/>
      <c r="F31" s="71"/>
    </row>
    <row r="32" spans="2:6">
      <c r="B32" s="92" t="s">
        <v>23</v>
      </c>
      <c r="C32" s="11" t="s">
        <v>24</v>
      </c>
      <c r="D32" s="202">
        <v>38894.370000000003</v>
      </c>
      <c r="E32" s="225">
        <f>SUM(E33:E39)</f>
        <v>16943.14</v>
      </c>
      <c r="F32" s="71"/>
    </row>
    <row r="33" spans="2:6">
      <c r="B33" s="182" t="s">
        <v>4</v>
      </c>
      <c r="C33" s="175" t="s">
        <v>25</v>
      </c>
      <c r="D33" s="203">
        <v>37593.590000000004</v>
      </c>
      <c r="E33" s="226">
        <f>16304.04+1.88</f>
        <v>16305.92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45.68</v>
      </c>
      <c r="E35" s="226">
        <v>31.52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1255.0999999999999</v>
      </c>
      <c r="E37" s="226">
        <v>605.70000000000005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/>
      <c r="E39" s="227"/>
      <c r="F39" s="71"/>
    </row>
    <row r="40" spans="2:6" ht="13.5" thickBot="1">
      <c r="B40" s="97" t="s">
        <v>35</v>
      </c>
      <c r="C40" s="98" t="s">
        <v>36</v>
      </c>
      <c r="D40" s="205">
        <v>-23654.3</v>
      </c>
      <c r="E40" s="232">
        <v>2555.9499999999998</v>
      </c>
    </row>
    <row r="41" spans="2:6" ht="13.5" thickBot="1">
      <c r="B41" s="99" t="s">
        <v>37</v>
      </c>
      <c r="C41" s="100" t="s">
        <v>38</v>
      </c>
      <c r="D41" s="206">
        <v>31861.900000000005</v>
      </c>
      <c r="E41" s="148">
        <f>E26+E27+E40</f>
        <v>17474.710000000003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494.01166999999998</v>
      </c>
      <c r="E47" s="73">
        <v>235.82192000000001</v>
      </c>
    </row>
    <row r="48" spans="2:6">
      <c r="B48" s="187" t="s">
        <v>6</v>
      </c>
      <c r="C48" s="188" t="s">
        <v>41</v>
      </c>
      <c r="D48" s="207">
        <v>235.82192000000001</v>
      </c>
      <c r="E48" s="149">
        <v>116.196</v>
      </c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85" t="s">
        <v>4</v>
      </c>
      <c r="C50" s="186" t="s">
        <v>40</v>
      </c>
      <c r="D50" s="207">
        <v>191.11</v>
      </c>
      <c r="E50" s="75">
        <v>135.11000000000001</v>
      </c>
    </row>
    <row r="51" spans="2:5">
      <c r="B51" s="185" t="s">
        <v>6</v>
      </c>
      <c r="C51" s="186" t="s">
        <v>114</v>
      </c>
      <c r="D51" s="207">
        <v>134.63</v>
      </c>
      <c r="E51" s="75">
        <v>135.11000000000001</v>
      </c>
    </row>
    <row r="52" spans="2:5">
      <c r="B52" s="185" t="s">
        <v>8</v>
      </c>
      <c r="C52" s="186" t="s">
        <v>115</v>
      </c>
      <c r="D52" s="207">
        <v>196.99</v>
      </c>
      <c r="E52" s="75">
        <v>150.38999999999999</v>
      </c>
    </row>
    <row r="53" spans="2:5" ht="14.25" customHeight="1" thickBot="1">
      <c r="B53" s="189" t="s">
        <v>9</v>
      </c>
      <c r="C53" s="190" t="s">
        <v>41</v>
      </c>
      <c r="D53" s="209">
        <v>135.11000000000001</v>
      </c>
      <c r="E53" s="233">
        <v>150.38999999999999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6.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17474.71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17474.71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17474.71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17474.71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5">
    <pageSetUpPr fitToPage="1"/>
  </sheetPr>
  <dimension ref="A1:G81"/>
  <sheetViews>
    <sheetView topLeftCell="A40" zoomScale="80" zoomScaleNormal="80" workbookViewId="0">
      <selection activeCell="I36" sqref="I3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41"/>
      <c r="C4" s="141"/>
      <c r="D4" s="141"/>
      <c r="E4" s="141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261</v>
      </c>
      <c r="C6" s="359"/>
      <c r="D6" s="359"/>
      <c r="E6" s="359"/>
    </row>
    <row r="7" spans="2:7" ht="14.25">
      <c r="B7" s="139"/>
      <c r="C7" s="139"/>
      <c r="D7" s="139"/>
      <c r="E7" s="139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40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/>
      <c r="E11" s="244"/>
    </row>
    <row r="12" spans="2:7">
      <c r="B12" s="174" t="s">
        <v>4</v>
      </c>
      <c r="C12" s="175" t="s">
        <v>5</v>
      </c>
      <c r="D12" s="283"/>
      <c r="E12" s="304"/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/>
      <c r="E21" s="148"/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38896.86</v>
      </c>
      <c r="E26" s="231"/>
    </row>
    <row r="27" spans="2:6">
      <c r="B27" s="9" t="s">
        <v>17</v>
      </c>
      <c r="C27" s="10" t="s">
        <v>111</v>
      </c>
      <c r="D27" s="202">
        <v>-31750.76</v>
      </c>
      <c r="E27" s="224"/>
      <c r="F27" s="71"/>
    </row>
    <row r="28" spans="2:6">
      <c r="B28" s="9" t="s">
        <v>18</v>
      </c>
      <c r="C28" s="10" t="s">
        <v>19</v>
      </c>
      <c r="D28" s="202">
        <v>20524.02</v>
      </c>
      <c r="E28" s="225"/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>
        <v>20524.02</v>
      </c>
      <c r="E31" s="226"/>
      <c r="F31" s="71"/>
    </row>
    <row r="32" spans="2:6">
      <c r="B32" s="92" t="s">
        <v>23</v>
      </c>
      <c r="C32" s="11" t="s">
        <v>24</v>
      </c>
      <c r="D32" s="202">
        <v>52274.78</v>
      </c>
      <c r="E32" s="225"/>
      <c r="F32" s="71"/>
    </row>
    <row r="33" spans="2:6">
      <c r="B33" s="182" t="s">
        <v>4</v>
      </c>
      <c r="C33" s="175" t="s">
        <v>25</v>
      </c>
      <c r="D33" s="203">
        <v>5929.13</v>
      </c>
      <c r="E33" s="226"/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56</v>
      </c>
      <c r="E35" s="226"/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256.18</v>
      </c>
      <c r="E37" s="226"/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>
        <v>46033.47</v>
      </c>
      <c r="E39" s="227"/>
      <c r="F39" s="71"/>
    </row>
    <row r="40" spans="2:6" ht="13.5" thickBot="1">
      <c r="B40" s="97" t="s">
        <v>35</v>
      </c>
      <c r="C40" s="98" t="s">
        <v>36</v>
      </c>
      <c r="D40" s="205">
        <v>-7146.1</v>
      </c>
      <c r="E40" s="232"/>
    </row>
    <row r="41" spans="2:6" ht="13.5" thickBot="1">
      <c r="B41" s="99" t="s">
        <v>37</v>
      </c>
      <c r="C41" s="100" t="s">
        <v>38</v>
      </c>
      <c r="D41" s="206">
        <v>0</v>
      </c>
      <c r="E41" s="148"/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443.42070000000001</v>
      </c>
      <c r="E47" s="73"/>
    </row>
    <row r="48" spans="2:6">
      <c r="B48" s="187" t="s">
        <v>6</v>
      </c>
      <c r="C48" s="188" t="s">
        <v>41</v>
      </c>
      <c r="D48" s="207">
        <v>0</v>
      </c>
      <c r="E48" s="149"/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85" t="s">
        <v>4</v>
      </c>
      <c r="C50" s="186" t="s">
        <v>40</v>
      </c>
      <c r="D50" s="207">
        <v>87.72</v>
      </c>
      <c r="E50" s="75"/>
    </row>
    <row r="51" spans="2:5">
      <c r="B51" s="185" t="s">
        <v>6</v>
      </c>
      <c r="C51" s="186" t="s">
        <v>114</v>
      </c>
      <c r="D51" s="207">
        <v>61.48</v>
      </c>
      <c r="E51" s="75"/>
    </row>
    <row r="52" spans="2:5">
      <c r="B52" s="185" t="s">
        <v>8</v>
      </c>
      <c r="C52" s="186" t="s">
        <v>115</v>
      </c>
      <c r="D52" s="207">
        <v>100.39</v>
      </c>
      <c r="E52" s="75"/>
    </row>
    <row r="53" spans="2:5" ht="13.5" customHeight="1" thickBot="1">
      <c r="B53" s="189" t="s">
        <v>9</v>
      </c>
      <c r="C53" s="190" t="s">
        <v>41</v>
      </c>
      <c r="D53" s="209">
        <v>0</v>
      </c>
      <c r="E53" s="233"/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4.25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0</v>
      </c>
      <c r="E58" s="31">
        <v>0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0</v>
      </c>
      <c r="E64" s="81">
        <v>0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0</v>
      </c>
      <c r="E74" s="66">
        <v>0</v>
      </c>
    </row>
    <row r="75" spans="2:5">
      <c r="B75" s="102" t="s">
        <v>4</v>
      </c>
      <c r="C75" s="15" t="s">
        <v>67</v>
      </c>
      <c r="D75" s="78">
        <f>D74</f>
        <v>0</v>
      </c>
      <c r="E75" s="79">
        <v>0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6"/>
  <dimension ref="A1:G81"/>
  <sheetViews>
    <sheetView topLeftCell="A46" zoomScale="80" zoomScaleNormal="80" workbookViewId="0">
      <selection activeCell="I36" sqref="I3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41"/>
      <c r="C4" s="141"/>
      <c r="D4" s="141"/>
      <c r="E4" s="141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228</v>
      </c>
      <c r="C6" s="359"/>
      <c r="D6" s="359"/>
      <c r="E6" s="359"/>
    </row>
    <row r="7" spans="2:7" ht="14.25">
      <c r="B7" s="139"/>
      <c r="C7" s="139"/>
      <c r="D7" s="139"/>
      <c r="E7" s="139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40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225660.9</v>
      </c>
      <c r="E11" s="244">
        <f>SUM(E12:E14)</f>
        <v>51580.850000000006</v>
      </c>
    </row>
    <row r="12" spans="2:7">
      <c r="B12" s="174" t="s">
        <v>4</v>
      </c>
      <c r="C12" s="175" t="s">
        <v>5</v>
      </c>
      <c r="D12" s="283">
        <v>225660.9</v>
      </c>
      <c r="E12" s="304">
        <f>51615.41-34.56</f>
        <v>51580.850000000006</v>
      </c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225660.9</v>
      </c>
      <c r="E21" s="148">
        <f>E11-E17</f>
        <v>51580.850000000006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475426.36</v>
      </c>
      <c r="E26" s="231">
        <f>D21</f>
        <v>225660.9</v>
      </c>
    </row>
    <row r="27" spans="2:6">
      <c r="B27" s="9" t="s">
        <v>17</v>
      </c>
      <c r="C27" s="10" t="s">
        <v>111</v>
      </c>
      <c r="D27" s="202">
        <v>-257540.11</v>
      </c>
      <c r="E27" s="224">
        <f>E28-E32</f>
        <v>-178302.47000000003</v>
      </c>
      <c r="F27" s="71"/>
    </row>
    <row r="28" spans="2:6">
      <c r="B28" s="9" t="s">
        <v>18</v>
      </c>
      <c r="C28" s="10" t="s">
        <v>19</v>
      </c>
      <c r="D28" s="202">
        <v>0</v>
      </c>
      <c r="E28" s="225">
        <v>30964.86</v>
      </c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/>
      <c r="E31" s="226">
        <v>30964.86</v>
      </c>
      <c r="F31" s="71"/>
    </row>
    <row r="32" spans="2:6">
      <c r="B32" s="92" t="s">
        <v>23</v>
      </c>
      <c r="C32" s="11" t="s">
        <v>24</v>
      </c>
      <c r="D32" s="202">
        <v>257540.11</v>
      </c>
      <c r="E32" s="225">
        <f>SUM(E33:E39)</f>
        <v>209267.33000000002</v>
      </c>
      <c r="F32" s="71"/>
    </row>
    <row r="33" spans="2:6">
      <c r="B33" s="182" t="s">
        <v>4</v>
      </c>
      <c r="C33" s="175" t="s">
        <v>25</v>
      </c>
      <c r="D33" s="203">
        <v>250844.86</v>
      </c>
      <c r="E33" s="226">
        <f>123258.05-7.58</f>
        <v>123250.47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186.5</v>
      </c>
      <c r="E35" s="226">
        <v>165.81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6508.75</v>
      </c>
      <c r="E37" s="226">
        <v>3837.09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/>
      <c r="E39" s="227">
        <v>82013.960000000006</v>
      </c>
      <c r="F39" s="71"/>
    </row>
    <row r="40" spans="2:6" ht="13.5" thickBot="1">
      <c r="B40" s="97" t="s">
        <v>35</v>
      </c>
      <c r="C40" s="98" t="s">
        <v>36</v>
      </c>
      <c r="D40" s="205">
        <v>7774.65</v>
      </c>
      <c r="E40" s="232">
        <v>4222.42</v>
      </c>
    </row>
    <row r="41" spans="2:6" ht="13.5" thickBot="1">
      <c r="B41" s="99" t="s">
        <v>37</v>
      </c>
      <c r="C41" s="100" t="s">
        <v>38</v>
      </c>
      <c r="D41" s="206">
        <v>225660.9</v>
      </c>
      <c r="E41" s="148">
        <f>E26+E27+E40</f>
        <v>51580.849999999962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3249.4454000000001</v>
      </c>
      <c r="E47" s="73">
        <v>1509.5384309999999</v>
      </c>
    </row>
    <row r="48" spans="2:6">
      <c r="B48" s="187" t="s">
        <v>6</v>
      </c>
      <c r="C48" s="188" t="s">
        <v>41</v>
      </c>
      <c r="D48" s="207">
        <v>1509.5384309999999</v>
      </c>
      <c r="E48" s="149">
        <v>337.43850000000003</v>
      </c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85" t="s">
        <v>4</v>
      </c>
      <c r="C50" s="186" t="s">
        <v>40</v>
      </c>
      <c r="D50" s="207">
        <v>146.31</v>
      </c>
      <c r="E50" s="75">
        <v>149.49</v>
      </c>
    </row>
    <row r="51" spans="2:5">
      <c r="B51" s="185" t="s">
        <v>6</v>
      </c>
      <c r="C51" s="186" t="s">
        <v>114</v>
      </c>
      <c r="D51" s="207">
        <v>146.31</v>
      </c>
      <c r="E51" s="75">
        <v>149.49</v>
      </c>
    </row>
    <row r="52" spans="2:5">
      <c r="B52" s="185" t="s">
        <v>8</v>
      </c>
      <c r="C52" s="186" t="s">
        <v>115</v>
      </c>
      <c r="D52" s="207">
        <v>149.49</v>
      </c>
      <c r="E52" s="75">
        <v>152.86000000000001</v>
      </c>
    </row>
    <row r="53" spans="2:5" ht="13.5" customHeight="1" thickBot="1">
      <c r="B53" s="189" t="s">
        <v>9</v>
      </c>
      <c r="C53" s="190" t="s">
        <v>41</v>
      </c>
      <c r="D53" s="209">
        <v>149.49</v>
      </c>
      <c r="E53" s="233">
        <v>152.86000000000001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7.2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51580.850000000006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E12</f>
        <v>51580.850000000006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0" t="s">
        <v>64</v>
      </c>
      <c r="C74" s="121" t="s">
        <v>66</v>
      </c>
      <c r="D74" s="122">
        <f>D58-D73</f>
        <v>51580.850000000006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51580.850000000006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7">
    <pageSetUpPr fitToPage="1"/>
  </sheetPr>
  <dimension ref="A1:G81"/>
  <sheetViews>
    <sheetView topLeftCell="A49" zoomScale="80" zoomScaleNormal="80" workbookViewId="0">
      <selection activeCell="D42" sqref="D42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41"/>
      <c r="C4" s="141"/>
      <c r="D4" s="141"/>
      <c r="E4" s="141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262</v>
      </c>
      <c r="C6" s="359"/>
      <c r="D6" s="359"/>
      <c r="E6" s="359"/>
    </row>
    <row r="7" spans="2:7" ht="14.25">
      <c r="B7" s="139"/>
      <c r="C7" s="139"/>
      <c r="D7" s="139"/>
      <c r="E7" s="139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40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/>
      <c r="E11" s="244"/>
    </row>
    <row r="12" spans="2:7">
      <c r="B12" s="174" t="s">
        <v>4</v>
      </c>
      <c r="C12" s="175" t="s">
        <v>5</v>
      </c>
      <c r="D12" s="283"/>
      <c r="E12" s="304"/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/>
      <c r="E21" s="148"/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11160.73</v>
      </c>
      <c r="E26" s="231"/>
    </row>
    <row r="27" spans="2:6">
      <c r="B27" s="9" t="s">
        <v>17</v>
      </c>
      <c r="C27" s="10" t="s">
        <v>111</v>
      </c>
      <c r="D27" s="202">
        <v>-11280.8</v>
      </c>
      <c r="E27" s="224"/>
      <c r="F27" s="71"/>
    </row>
    <row r="28" spans="2:6">
      <c r="B28" s="9" t="s">
        <v>18</v>
      </c>
      <c r="C28" s="10" t="s">
        <v>19</v>
      </c>
      <c r="D28" s="202">
        <v>0</v>
      </c>
      <c r="E28" s="225"/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/>
      <c r="E31" s="226"/>
      <c r="F31" s="71"/>
    </row>
    <row r="32" spans="2:6">
      <c r="B32" s="92" t="s">
        <v>23</v>
      </c>
      <c r="C32" s="11" t="s">
        <v>24</v>
      </c>
      <c r="D32" s="202">
        <v>11280.8</v>
      </c>
      <c r="E32" s="225"/>
      <c r="F32" s="71"/>
    </row>
    <row r="33" spans="2:6">
      <c r="B33" s="182" t="s">
        <v>4</v>
      </c>
      <c r="C33" s="175" t="s">
        <v>25</v>
      </c>
      <c r="D33" s="203">
        <v>2434.41</v>
      </c>
      <c r="E33" s="226"/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16.32</v>
      </c>
      <c r="E35" s="226"/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157.32</v>
      </c>
      <c r="E37" s="226"/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>
        <v>8672.75</v>
      </c>
      <c r="E39" s="227"/>
      <c r="F39" s="71"/>
    </row>
    <row r="40" spans="2:6" ht="13.5" thickBot="1">
      <c r="B40" s="97" t="s">
        <v>35</v>
      </c>
      <c r="C40" s="98" t="s">
        <v>36</v>
      </c>
      <c r="D40" s="205">
        <v>120.07</v>
      </c>
      <c r="E40" s="232"/>
    </row>
    <row r="41" spans="2:6" ht="13.5" thickBot="1">
      <c r="B41" s="99" t="s">
        <v>37</v>
      </c>
      <c r="C41" s="100" t="s">
        <v>38</v>
      </c>
      <c r="D41" s="206" t="s">
        <v>123</v>
      </c>
      <c r="E41" s="148"/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129.83629999999999</v>
      </c>
      <c r="E47" s="73"/>
    </row>
    <row r="48" spans="2:6">
      <c r="B48" s="187" t="s">
        <v>6</v>
      </c>
      <c r="C48" s="188" t="s">
        <v>41</v>
      </c>
      <c r="D48" s="207">
        <v>0</v>
      </c>
      <c r="E48" s="149"/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85" t="s">
        <v>4</v>
      </c>
      <c r="C50" s="186" t="s">
        <v>40</v>
      </c>
      <c r="D50" s="207">
        <v>85.96</v>
      </c>
      <c r="E50" s="75"/>
    </row>
    <row r="51" spans="2:5">
      <c r="B51" s="185" t="s">
        <v>6</v>
      </c>
      <c r="C51" s="186" t="s">
        <v>114</v>
      </c>
      <c r="D51" s="207">
        <v>79.37</v>
      </c>
      <c r="E51" s="75"/>
    </row>
    <row r="52" spans="2:5">
      <c r="B52" s="185" t="s">
        <v>8</v>
      </c>
      <c r="C52" s="186" t="s">
        <v>115</v>
      </c>
      <c r="D52" s="207">
        <v>93.26</v>
      </c>
      <c r="E52" s="75"/>
    </row>
    <row r="53" spans="2:5" ht="12.75" customHeight="1" thickBot="1">
      <c r="B53" s="189" t="s">
        <v>9</v>
      </c>
      <c r="C53" s="190" t="s">
        <v>41</v>
      </c>
      <c r="D53" s="209">
        <v>0</v>
      </c>
      <c r="E53" s="233"/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5.7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0</v>
      </c>
      <c r="E58" s="31">
        <v>0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0</v>
      </c>
      <c r="E64" s="81">
        <v>0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0</v>
      </c>
      <c r="E74" s="66">
        <f>E58+E72-E73</f>
        <v>0</v>
      </c>
    </row>
    <row r="75" spans="2:5">
      <c r="B75" s="102" t="s">
        <v>4</v>
      </c>
      <c r="C75" s="15" t="s">
        <v>67</v>
      </c>
      <c r="D75" s="78">
        <f>D74</f>
        <v>0</v>
      </c>
      <c r="E75" s="79">
        <f>E74</f>
        <v>0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8"/>
  <dimension ref="A1:G81"/>
  <sheetViews>
    <sheetView topLeftCell="A49"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41"/>
      <c r="C4" s="141"/>
      <c r="D4" s="141"/>
      <c r="E4" s="141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229</v>
      </c>
      <c r="C6" s="359"/>
      <c r="D6" s="359"/>
      <c r="E6" s="359"/>
    </row>
    <row r="7" spans="2:7" ht="14.25">
      <c r="B7" s="139"/>
      <c r="C7" s="139"/>
      <c r="D7" s="139"/>
      <c r="E7" s="139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40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15201.67</v>
      </c>
      <c r="E11" s="244">
        <f>SUM(E12:E14)</f>
        <v>15921.06</v>
      </c>
    </row>
    <row r="12" spans="2:7">
      <c r="B12" s="174" t="s">
        <v>4</v>
      </c>
      <c r="C12" s="175" t="s">
        <v>5</v>
      </c>
      <c r="D12" s="283">
        <v>15201.67</v>
      </c>
      <c r="E12" s="304">
        <v>15921.06</v>
      </c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15201.67</v>
      </c>
      <c r="E21" s="148">
        <f>E11-E17</f>
        <v>15921.06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20215.990000000002</v>
      </c>
      <c r="E26" s="231">
        <f>D21</f>
        <v>15201.67</v>
      </c>
    </row>
    <row r="27" spans="2:6">
      <c r="B27" s="9" t="s">
        <v>17</v>
      </c>
      <c r="C27" s="10" t="s">
        <v>111</v>
      </c>
      <c r="D27" s="202">
        <v>-836.97</v>
      </c>
      <c r="E27" s="224">
        <v>-313.46999999999997</v>
      </c>
      <c r="F27" s="71"/>
    </row>
    <row r="28" spans="2:6">
      <c r="B28" s="9" t="s">
        <v>18</v>
      </c>
      <c r="C28" s="10" t="s">
        <v>19</v>
      </c>
      <c r="D28" s="202">
        <v>0</v>
      </c>
      <c r="E28" s="225">
        <v>0</v>
      </c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/>
      <c r="E31" s="226"/>
      <c r="F31" s="71"/>
    </row>
    <row r="32" spans="2:6">
      <c r="B32" s="92" t="s">
        <v>23</v>
      </c>
      <c r="C32" s="11" t="s">
        <v>24</v>
      </c>
      <c r="D32" s="202">
        <v>836.97</v>
      </c>
      <c r="E32" s="225">
        <v>313.46999999999997</v>
      </c>
      <c r="F32" s="71"/>
    </row>
    <row r="33" spans="2:6">
      <c r="B33" s="182" t="s">
        <v>4</v>
      </c>
      <c r="C33" s="175" t="s">
        <v>25</v>
      </c>
      <c r="D33" s="203">
        <v>461.74</v>
      </c>
      <c r="E33" s="226"/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7.3</v>
      </c>
      <c r="E35" s="226">
        <v>10.27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367.93</v>
      </c>
      <c r="E37" s="226">
        <v>303.2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/>
      <c r="E39" s="227"/>
      <c r="F39" s="71"/>
    </row>
    <row r="40" spans="2:6" ht="13.5" thickBot="1">
      <c r="B40" s="97" t="s">
        <v>35</v>
      </c>
      <c r="C40" s="98" t="s">
        <v>36</v>
      </c>
      <c r="D40" s="205">
        <v>-4177.3500000000004</v>
      </c>
      <c r="E40" s="232">
        <v>1032.8599999999999</v>
      </c>
    </row>
    <row r="41" spans="2:6" ht="13.5" thickBot="1">
      <c r="B41" s="99" t="s">
        <v>37</v>
      </c>
      <c r="C41" s="100" t="s">
        <v>38</v>
      </c>
      <c r="D41" s="206">
        <v>15201.67</v>
      </c>
      <c r="E41" s="148">
        <f>E26+E27+E40</f>
        <v>15921.060000000001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127.1846</v>
      </c>
      <c r="E47" s="73">
        <v>121.5453</v>
      </c>
    </row>
    <row r="48" spans="2:6">
      <c r="B48" s="187" t="s">
        <v>6</v>
      </c>
      <c r="C48" s="188" t="s">
        <v>41</v>
      </c>
      <c r="D48" s="207">
        <v>121.5453</v>
      </c>
      <c r="E48" s="149">
        <v>119.1785</v>
      </c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85" t="s">
        <v>4</v>
      </c>
      <c r="C50" s="186" t="s">
        <v>40</v>
      </c>
      <c r="D50" s="207">
        <v>158.94999999999999</v>
      </c>
      <c r="E50" s="75">
        <v>125.07</v>
      </c>
    </row>
    <row r="51" spans="2:5">
      <c r="B51" s="185" t="s">
        <v>6</v>
      </c>
      <c r="C51" s="186" t="s">
        <v>114</v>
      </c>
      <c r="D51" s="207">
        <v>125.07</v>
      </c>
      <c r="E51" s="75">
        <v>125.07</v>
      </c>
    </row>
    <row r="52" spans="2:5">
      <c r="B52" s="185" t="s">
        <v>8</v>
      </c>
      <c r="C52" s="186" t="s">
        <v>115</v>
      </c>
      <c r="D52" s="207">
        <v>160.91999999999999</v>
      </c>
      <c r="E52" s="75">
        <v>135.4</v>
      </c>
    </row>
    <row r="53" spans="2:5" ht="13.5" customHeight="1" thickBot="1">
      <c r="B53" s="189" t="s">
        <v>9</v>
      </c>
      <c r="C53" s="190" t="s">
        <v>41</v>
      </c>
      <c r="D53" s="209">
        <v>125.07</v>
      </c>
      <c r="E53" s="233">
        <v>133.59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6.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15921.06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15921.06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15921.06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15921.06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9"/>
  <dimension ref="A1:H81"/>
  <sheetViews>
    <sheetView topLeftCell="A52" zoomScale="80" zoomScaleNormal="80" workbookViewId="0">
      <selection activeCell="G1" sqref="G1:J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8" max="8" width="12.42578125" bestFit="1" customWidth="1"/>
  </cols>
  <sheetData>
    <row r="1" spans="2:8">
      <c r="B1" s="1"/>
      <c r="C1" s="1"/>
      <c r="D1" s="2"/>
      <c r="E1" s="2"/>
    </row>
    <row r="2" spans="2:8" ht="15.75">
      <c r="B2" s="357" t="s">
        <v>0</v>
      </c>
      <c r="C2" s="357"/>
      <c r="D2" s="357"/>
      <c r="E2" s="357"/>
      <c r="H2" s="71"/>
    </row>
    <row r="3" spans="2:8" ht="15.75">
      <c r="B3" s="357" t="s">
        <v>267</v>
      </c>
      <c r="C3" s="357"/>
      <c r="D3" s="357"/>
      <c r="E3" s="357"/>
    </row>
    <row r="4" spans="2:8" ht="15">
      <c r="B4" s="141"/>
      <c r="C4" s="141"/>
      <c r="D4" s="141"/>
      <c r="E4" s="141"/>
    </row>
    <row r="5" spans="2:8" ht="21" customHeight="1">
      <c r="B5" s="358" t="s">
        <v>1</v>
      </c>
      <c r="C5" s="358"/>
      <c r="D5" s="358"/>
      <c r="E5" s="358"/>
    </row>
    <row r="6" spans="2:8" ht="14.25">
      <c r="B6" s="359" t="s">
        <v>263</v>
      </c>
      <c r="C6" s="359"/>
      <c r="D6" s="359"/>
      <c r="E6" s="359"/>
    </row>
    <row r="7" spans="2:8" ht="14.25">
      <c r="B7" s="139"/>
      <c r="C7" s="139"/>
      <c r="D7" s="139"/>
      <c r="E7" s="139"/>
    </row>
    <row r="8" spans="2:8" ht="13.5">
      <c r="B8" s="361" t="s">
        <v>18</v>
      </c>
      <c r="C8" s="363"/>
      <c r="D8" s="363"/>
      <c r="E8" s="363"/>
    </row>
    <row r="9" spans="2:8" ht="16.5" thickBot="1">
      <c r="B9" s="360" t="s">
        <v>103</v>
      </c>
      <c r="C9" s="360"/>
      <c r="D9" s="360"/>
      <c r="E9" s="360"/>
    </row>
    <row r="10" spans="2:8" ht="13.5" thickBot="1">
      <c r="B10" s="140"/>
      <c r="C10" s="76" t="s">
        <v>2</v>
      </c>
      <c r="D10" s="70" t="s">
        <v>125</v>
      </c>
      <c r="E10" s="319" t="s">
        <v>268</v>
      </c>
    </row>
    <row r="11" spans="2:8">
      <c r="B11" s="90" t="s">
        <v>3</v>
      </c>
      <c r="C11" s="128" t="s">
        <v>109</v>
      </c>
      <c r="D11" s="243"/>
      <c r="E11" s="244"/>
    </row>
    <row r="12" spans="2:8">
      <c r="B12" s="174" t="s">
        <v>4</v>
      </c>
      <c r="C12" s="175" t="s">
        <v>5</v>
      </c>
      <c r="D12" s="283"/>
      <c r="E12" s="304"/>
    </row>
    <row r="13" spans="2:8">
      <c r="B13" s="174" t="s">
        <v>6</v>
      </c>
      <c r="C13" s="176" t="s">
        <v>7</v>
      </c>
      <c r="D13" s="276"/>
      <c r="E13" s="305"/>
    </row>
    <row r="14" spans="2:8">
      <c r="B14" s="174" t="s">
        <v>8</v>
      </c>
      <c r="C14" s="176" t="s">
        <v>10</v>
      </c>
      <c r="D14" s="276"/>
      <c r="E14" s="305"/>
    </row>
    <row r="15" spans="2:8">
      <c r="B15" s="174" t="s">
        <v>106</v>
      </c>
      <c r="C15" s="176" t="s">
        <v>11</v>
      </c>
      <c r="D15" s="276"/>
      <c r="E15" s="305"/>
    </row>
    <row r="16" spans="2:8">
      <c r="B16" s="177" t="s">
        <v>107</v>
      </c>
      <c r="C16" s="178" t="s">
        <v>12</v>
      </c>
      <c r="D16" s="278"/>
      <c r="E16" s="306"/>
    </row>
    <row r="17" spans="2:7">
      <c r="B17" s="9" t="s">
        <v>13</v>
      </c>
      <c r="C17" s="11" t="s">
        <v>65</v>
      </c>
      <c r="D17" s="279"/>
      <c r="E17" s="307"/>
    </row>
    <row r="18" spans="2:7">
      <c r="B18" s="174" t="s">
        <v>4</v>
      </c>
      <c r="C18" s="175" t="s">
        <v>11</v>
      </c>
      <c r="D18" s="278"/>
      <c r="E18" s="306"/>
    </row>
    <row r="19" spans="2:7" ht="15" customHeight="1">
      <c r="B19" s="174" t="s">
        <v>6</v>
      </c>
      <c r="C19" s="176" t="s">
        <v>108</v>
      </c>
      <c r="D19" s="276"/>
      <c r="E19" s="305"/>
    </row>
    <row r="20" spans="2:7" ht="13.5" thickBot="1">
      <c r="B20" s="179" t="s">
        <v>8</v>
      </c>
      <c r="C20" s="180" t="s">
        <v>14</v>
      </c>
      <c r="D20" s="245"/>
      <c r="E20" s="246"/>
    </row>
    <row r="21" spans="2:7" ht="13.5" thickBot="1">
      <c r="B21" s="367" t="s">
        <v>110</v>
      </c>
      <c r="C21" s="368"/>
      <c r="D21" s="247"/>
      <c r="E21" s="148"/>
      <c r="F21" s="77"/>
      <c r="G21" s="67">
        <f>E21-E41</f>
        <v>0</v>
      </c>
    </row>
    <row r="22" spans="2:7">
      <c r="B22" s="3"/>
      <c r="C22" s="7"/>
      <c r="D22" s="8"/>
      <c r="E22" s="8"/>
    </row>
    <row r="23" spans="2:7" ht="13.5">
      <c r="B23" s="361" t="s">
        <v>104</v>
      </c>
      <c r="C23" s="371"/>
      <c r="D23" s="371"/>
      <c r="E23" s="371"/>
    </row>
    <row r="24" spans="2:7" ht="15.75" customHeight="1" thickBot="1">
      <c r="B24" s="360" t="s">
        <v>105</v>
      </c>
      <c r="C24" s="372"/>
      <c r="D24" s="372"/>
      <c r="E24" s="372"/>
    </row>
    <row r="25" spans="2:7" ht="13.5" thickBot="1">
      <c r="B25" s="214"/>
      <c r="C25" s="181" t="s">
        <v>2</v>
      </c>
      <c r="D25" s="70" t="s">
        <v>125</v>
      </c>
      <c r="E25" s="319" t="s">
        <v>268</v>
      </c>
    </row>
    <row r="26" spans="2:7">
      <c r="B26" s="95" t="s">
        <v>15</v>
      </c>
      <c r="C26" s="96" t="s">
        <v>16</v>
      </c>
      <c r="D26" s="201">
        <v>33298.449999999997</v>
      </c>
      <c r="E26" s="231"/>
    </row>
    <row r="27" spans="2:7">
      <c r="B27" s="9" t="s">
        <v>17</v>
      </c>
      <c r="C27" s="10" t="s">
        <v>111</v>
      </c>
      <c r="D27" s="202">
        <v>-37786.670000000013</v>
      </c>
      <c r="E27" s="224"/>
      <c r="F27" s="71"/>
    </row>
    <row r="28" spans="2:7">
      <c r="B28" s="9" t="s">
        <v>18</v>
      </c>
      <c r="C28" s="10" t="s">
        <v>19</v>
      </c>
      <c r="D28" s="202">
        <v>84516.14</v>
      </c>
      <c r="E28" s="225"/>
      <c r="F28" s="71"/>
    </row>
    <row r="29" spans="2:7">
      <c r="B29" s="182" t="s">
        <v>4</v>
      </c>
      <c r="C29" s="175" t="s">
        <v>20</v>
      </c>
      <c r="D29" s="203"/>
      <c r="E29" s="226"/>
      <c r="F29" s="71"/>
    </row>
    <row r="30" spans="2:7">
      <c r="B30" s="182" t="s">
        <v>6</v>
      </c>
      <c r="C30" s="175" t="s">
        <v>21</v>
      </c>
      <c r="D30" s="203"/>
      <c r="E30" s="226"/>
      <c r="F30" s="71"/>
    </row>
    <row r="31" spans="2:7">
      <c r="B31" s="182" t="s">
        <v>8</v>
      </c>
      <c r="C31" s="175" t="s">
        <v>22</v>
      </c>
      <c r="D31" s="203">
        <v>84516.14</v>
      </c>
      <c r="E31" s="226"/>
      <c r="F31" s="71"/>
    </row>
    <row r="32" spans="2:7">
      <c r="B32" s="92" t="s">
        <v>23</v>
      </c>
      <c r="C32" s="11" t="s">
        <v>24</v>
      </c>
      <c r="D32" s="202">
        <v>122302.81000000001</v>
      </c>
      <c r="E32" s="225"/>
      <c r="F32" s="71"/>
    </row>
    <row r="33" spans="2:6">
      <c r="B33" s="182" t="s">
        <v>4</v>
      </c>
      <c r="C33" s="175" t="s">
        <v>25</v>
      </c>
      <c r="D33" s="203">
        <v>16653.490000000002</v>
      </c>
      <c r="E33" s="226"/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145.72</v>
      </c>
      <c r="E35" s="226"/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661.14</v>
      </c>
      <c r="E37" s="226"/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>
        <v>104842.46</v>
      </c>
      <c r="E39" s="227"/>
      <c r="F39" s="71"/>
    </row>
    <row r="40" spans="2:6" ht="13.5" thickBot="1">
      <c r="B40" s="97" t="s">
        <v>35</v>
      </c>
      <c r="C40" s="98" t="s">
        <v>36</v>
      </c>
      <c r="D40" s="205">
        <v>4488.22</v>
      </c>
      <c r="E40" s="232"/>
    </row>
    <row r="41" spans="2:6" ht="13.5" thickBot="1">
      <c r="B41" s="99" t="s">
        <v>37</v>
      </c>
      <c r="C41" s="100" t="s">
        <v>38</v>
      </c>
      <c r="D41" s="206" t="s">
        <v>123</v>
      </c>
      <c r="E41" s="148"/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511.57549999999998</v>
      </c>
      <c r="E47" s="73"/>
    </row>
    <row r="48" spans="2:6">
      <c r="B48" s="187" t="s">
        <v>6</v>
      </c>
      <c r="C48" s="188" t="s">
        <v>41</v>
      </c>
      <c r="D48" s="207">
        <v>0</v>
      </c>
      <c r="E48" s="149"/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85" t="s">
        <v>4</v>
      </c>
      <c r="C50" s="186" t="s">
        <v>40</v>
      </c>
      <c r="D50" s="207">
        <v>65.09</v>
      </c>
      <c r="E50" s="75"/>
    </row>
    <row r="51" spans="2:5">
      <c r="B51" s="185" t="s">
        <v>6</v>
      </c>
      <c r="C51" s="186" t="s">
        <v>114</v>
      </c>
      <c r="D51" s="207">
        <v>60.45</v>
      </c>
      <c r="E51" s="75"/>
    </row>
    <row r="52" spans="2:5">
      <c r="B52" s="185" t="s">
        <v>8</v>
      </c>
      <c r="C52" s="186" t="s">
        <v>115</v>
      </c>
      <c r="D52" s="207">
        <v>74.44</v>
      </c>
      <c r="E52" s="75"/>
    </row>
    <row r="53" spans="2:5" ht="13.5" customHeight="1" thickBot="1">
      <c r="B53" s="189" t="s">
        <v>9</v>
      </c>
      <c r="C53" s="190" t="s">
        <v>41</v>
      </c>
      <c r="D53" s="209">
        <v>0</v>
      </c>
      <c r="E53" s="233"/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5.7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0</v>
      </c>
      <c r="E58" s="31">
        <v>0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0</v>
      </c>
      <c r="E64" s="81">
        <v>0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0</v>
      </c>
      <c r="E74" s="66">
        <f>E58+E72-E73</f>
        <v>0</v>
      </c>
    </row>
    <row r="75" spans="2:5">
      <c r="B75" s="102" t="s">
        <v>4</v>
      </c>
      <c r="C75" s="15" t="s">
        <v>67</v>
      </c>
      <c r="D75" s="78">
        <f>D74</f>
        <v>0</v>
      </c>
      <c r="E75" s="79">
        <f>E74</f>
        <v>0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pageSetUpPr fitToPage="1"/>
  </sheetPr>
  <dimension ref="A1:F81"/>
  <sheetViews>
    <sheetView zoomScale="80" zoomScaleNormal="80" workbookViewId="0">
      <selection activeCell="G1" sqref="G1:R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85"/>
      <c r="C4" s="85"/>
      <c r="D4" s="85"/>
      <c r="E4" s="85"/>
    </row>
    <row r="5" spans="2:5" ht="21" customHeight="1">
      <c r="B5" s="358" t="s">
        <v>1</v>
      </c>
      <c r="C5" s="358"/>
      <c r="D5" s="358"/>
      <c r="E5" s="358"/>
    </row>
    <row r="6" spans="2:5" ht="14.25">
      <c r="B6" s="359" t="s">
        <v>142</v>
      </c>
      <c r="C6" s="359"/>
      <c r="D6" s="359"/>
      <c r="E6" s="359"/>
    </row>
    <row r="7" spans="2:5" ht="14.25">
      <c r="B7" s="89"/>
      <c r="C7" s="89"/>
      <c r="D7" s="89"/>
      <c r="E7" s="89"/>
    </row>
    <row r="8" spans="2:5" ht="13.5">
      <c r="B8" s="361" t="s">
        <v>18</v>
      </c>
      <c r="C8" s="363"/>
      <c r="D8" s="363"/>
      <c r="E8" s="363"/>
    </row>
    <row r="9" spans="2:5" ht="16.5" thickBot="1">
      <c r="B9" s="360" t="s">
        <v>103</v>
      </c>
      <c r="C9" s="360"/>
      <c r="D9" s="360"/>
      <c r="E9" s="360"/>
    </row>
    <row r="10" spans="2:5" ht="13.5" thickBot="1">
      <c r="B10" s="86"/>
      <c r="C10" s="76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28" t="s">
        <v>109</v>
      </c>
      <c r="D11" s="243">
        <v>18124183.550000001</v>
      </c>
      <c r="E11" s="244">
        <f>SUM(E12:E14)</f>
        <v>14896693.859999999</v>
      </c>
    </row>
    <row r="12" spans="2:5">
      <c r="B12" s="106" t="s">
        <v>4</v>
      </c>
      <c r="C12" s="6" t="s">
        <v>5</v>
      </c>
      <c r="D12" s="283">
        <v>18093769.400000002</v>
      </c>
      <c r="E12" s="304">
        <f>13720549.58+1165250.14-9492.38</f>
        <v>14876307.34</v>
      </c>
    </row>
    <row r="13" spans="2:5">
      <c r="B13" s="106" t="s">
        <v>6</v>
      </c>
      <c r="C13" s="68" t="s">
        <v>7</v>
      </c>
      <c r="D13" s="276"/>
      <c r="E13" s="305">
        <v>13.86</v>
      </c>
    </row>
    <row r="14" spans="2:5">
      <c r="B14" s="106" t="s">
        <v>8</v>
      </c>
      <c r="C14" s="68" t="s">
        <v>10</v>
      </c>
      <c r="D14" s="276">
        <v>30414.15</v>
      </c>
      <c r="E14" s="305">
        <f>E15</f>
        <v>20372.66</v>
      </c>
    </row>
    <row r="15" spans="2:5">
      <c r="B15" s="106" t="s">
        <v>106</v>
      </c>
      <c r="C15" s="68" t="s">
        <v>11</v>
      </c>
      <c r="D15" s="276">
        <v>30414.15</v>
      </c>
      <c r="E15" s="305">
        <v>20372.66</v>
      </c>
    </row>
    <row r="16" spans="2:5">
      <c r="B16" s="107" t="s">
        <v>107</v>
      </c>
      <c r="C16" s="91" t="s">
        <v>12</v>
      </c>
      <c r="D16" s="278"/>
      <c r="E16" s="306"/>
    </row>
    <row r="17" spans="2:6">
      <c r="B17" s="9" t="s">
        <v>13</v>
      </c>
      <c r="C17" s="11" t="s">
        <v>65</v>
      </c>
      <c r="D17" s="279">
        <v>55746.18</v>
      </c>
      <c r="E17" s="307">
        <f>E18</f>
        <v>38089.03</v>
      </c>
    </row>
    <row r="18" spans="2:6">
      <c r="B18" s="106" t="s">
        <v>4</v>
      </c>
      <c r="C18" s="6" t="s">
        <v>11</v>
      </c>
      <c r="D18" s="278">
        <v>55746.18</v>
      </c>
      <c r="E18" s="306">
        <v>38089.03</v>
      </c>
    </row>
    <row r="19" spans="2:6" ht="15" customHeight="1">
      <c r="B19" s="106" t="s">
        <v>6</v>
      </c>
      <c r="C19" s="68" t="s">
        <v>108</v>
      </c>
      <c r="D19" s="276"/>
      <c r="E19" s="305"/>
    </row>
    <row r="20" spans="2:6" ht="13.5" thickBot="1">
      <c r="B20" s="108" t="s">
        <v>8</v>
      </c>
      <c r="C20" s="69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18068437.370000001</v>
      </c>
      <c r="E21" s="148">
        <f>E11-E17</f>
        <v>14858604.83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69"/>
      <c r="D23" s="369"/>
      <c r="E23" s="369"/>
    </row>
    <row r="24" spans="2:6" ht="15.75" customHeight="1" thickBot="1">
      <c r="B24" s="360" t="s">
        <v>105</v>
      </c>
      <c r="C24" s="370"/>
      <c r="D24" s="370"/>
      <c r="E24" s="370"/>
    </row>
    <row r="25" spans="2:6" ht="13.5" thickBot="1">
      <c r="B25" s="86"/>
      <c r="C25" s="5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22948215.490000002</v>
      </c>
      <c r="E26" s="231">
        <f>D21</f>
        <v>18068437.370000001</v>
      </c>
    </row>
    <row r="27" spans="2:6">
      <c r="B27" s="9" t="s">
        <v>17</v>
      </c>
      <c r="C27" s="10" t="s">
        <v>111</v>
      </c>
      <c r="D27" s="202">
        <v>-3317317.9500000011</v>
      </c>
      <c r="E27" s="224">
        <f>E28-E32</f>
        <v>-4219053.1000000015</v>
      </c>
      <c r="F27" s="71"/>
    </row>
    <row r="28" spans="2:6">
      <c r="B28" s="9" t="s">
        <v>18</v>
      </c>
      <c r="C28" s="10" t="s">
        <v>19</v>
      </c>
      <c r="D28" s="202">
        <v>2087020.0099999998</v>
      </c>
      <c r="E28" s="225">
        <v>1266263.56</v>
      </c>
      <c r="F28" s="71"/>
    </row>
    <row r="29" spans="2:6">
      <c r="B29" s="104" t="s">
        <v>4</v>
      </c>
      <c r="C29" s="6" t="s">
        <v>20</v>
      </c>
      <c r="D29" s="203">
        <v>1408508.15</v>
      </c>
      <c r="E29" s="226">
        <v>1215074.55</v>
      </c>
      <c r="F29" s="71"/>
    </row>
    <row r="30" spans="2:6">
      <c r="B30" s="104" t="s">
        <v>6</v>
      </c>
      <c r="C30" s="6" t="s">
        <v>21</v>
      </c>
      <c r="D30" s="203"/>
      <c r="E30" s="226"/>
      <c r="F30" s="71"/>
    </row>
    <row r="31" spans="2:6">
      <c r="B31" s="104" t="s">
        <v>8</v>
      </c>
      <c r="C31" s="6" t="s">
        <v>22</v>
      </c>
      <c r="D31" s="203">
        <v>678511.86</v>
      </c>
      <c r="E31" s="226">
        <v>51189.01</v>
      </c>
      <c r="F31" s="71"/>
    </row>
    <row r="32" spans="2:6">
      <c r="B32" s="92" t="s">
        <v>23</v>
      </c>
      <c r="C32" s="11" t="s">
        <v>24</v>
      </c>
      <c r="D32" s="202">
        <v>5404337.9600000009</v>
      </c>
      <c r="E32" s="225">
        <f>SUM(E33:E39)</f>
        <v>5485316.660000002</v>
      </c>
      <c r="F32" s="71"/>
    </row>
    <row r="33" spans="2:6">
      <c r="B33" s="104" t="s">
        <v>4</v>
      </c>
      <c r="C33" s="6" t="s">
        <v>25</v>
      </c>
      <c r="D33" s="203">
        <v>4544908.67</v>
      </c>
      <c r="E33" s="226">
        <f>4839596.4+6676.52</f>
        <v>4846272.92</v>
      </c>
      <c r="F33" s="71"/>
    </row>
    <row r="34" spans="2:6">
      <c r="B34" s="104" t="s">
        <v>6</v>
      </c>
      <c r="C34" s="6" t="s">
        <v>26</v>
      </c>
      <c r="D34" s="203"/>
      <c r="E34" s="226"/>
      <c r="F34" s="71"/>
    </row>
    <row r="35" spans="2:6">
      <c r="B35" s="104" t="s">
        <v>8</v>
      </c>
      <c r="C35" s="6" t="s">
        <v>27</v>
      </c>
      <c r="D35" s="203">
        <v>118381.48999999999</v>
      </c>
      <c r="E35" s="226">
        <v>109215.43000000001</v>
      </c>
      <c r="F35" s="71"/>
    </row>
    <row r="36" spans="2:6">
      <c r="B36" s="104" t="s">
        <v>9</v>
      </c>
      <c r="C36" s="6" t="s">
        <v>28</v>
      </c>
      <c r="D36" s="203"/>
      <c r="E36" s="226"/>
      <c r="F36" s="71"/>
    </row>
    <row r="37" spans="2:6" ht="25.5">
      <c r="B37" s="104" t="s">
        <v>29</v>
      </c>
      <c r="C37" s="6" t="s">
        <v>30</v>
      </c>
      <c r="D37" s="203">
        <v>343051.07</v>
      </c>
      <c r="E37" s="226">
        <v>271455.06</v>
      </c>
      <c r="F37" s="71"/>
    </row>
    <row r="38" spans="2:6">
      <c r="B38" s="104" t="s">
        <v>31</v>
      </c>
      <c r="C38" s="6" t="s">
        <v>32</v>
      </c>
      <c r="D38" s="203"/>
      <c r="E38" s="226"/>
      <c r="F38" s="71"/>
    </row>
    <row r="39" spans="2:6">
      <c r="B39" s="105" t="s">
        <v>33</v>
      </c>
      <c r="C39" s="12" t="s">
        <v>34</v>
      </c>
      <c r="D39" s="204">
        <v>397996.73</v>
      </c>
      <c r="E39" s="227">
        <v>258373.25000000291</v>
      </c>
      <c r="F39" s="71"/>
    </row>
    <row r="40" spans="2:6" ht="13.5" thickBot="1">
      <c r="B40" s="97" t="s">
        <v>35</v>
      </c>
      <c r="C40" s="98" t="s">
        <v>36</v>
      </c>
      <c r="D40" s="205">
        <v>-1562460.17</v>
      </c>
      <c r="E40" s="232">
        <v>1009220.56</v>
      </c>
    </row>
    <row r="41" spans="2:6" ht="13.5" thickBot="1">
      <c r="B41" s="99" t="s">
        <v>37</v>
      </c>
      <c r="C41" s="100" t="s">
        <v>38</v>
      </c>
      <c r="D41" s="206">
        <v>18068437.369999997</v>
      </c>
      <c r="E41" s="148">
        <f>E26+E27+E40</f>
        <v>14858604.83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63"/>
      <c r="D43" s="363"/>
      <c r="E43" s="363"/>
    </row>
    <row r="44" spans="2:6" ht="18" customHeight="1" thickBot="1">
      <c r="B44" s="360" t="s">
        <v>121</v>
      </c>
      <c r="C44" s="364"/>
      <c r="D44" s="364"/>
      <c r="E44" s="364"/>
    </row>
    <row r="45" spans="2:6" ht="13.5" thickBot="1">
      <c r="B45" s="86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60">
        <v>152899.14616</v>
      </c>
      <c r="E47" s="73">
        <v>130373.15091</v>
      </c>
    </row>
    <row r="48" spans="2:6">
      <c r="B48" s="123" t="s">
        <v>6</v>
      </c>
      <c r="C48" s="22" t="s">
        <v>41</v>
      </c>
      <c r="D48" s="260">
        <v>130373.15091</v>
      </c>
      <c r="E48" s="272">
        <v>101447.1568</v>
      </c>
    </row>
    <row r="49" spans="2:5">
      <c r="B49" s="120" t="s">
        <v>23</v>
      </c>
      <c r="C49" s="124" t="s">
        <v>113</v>
      </c>
      <c r="D49" s="280"/>
      <c r="E49" s="125"/>
    </row>
    <row r="50" spans="2:5">
      <c r="B50" s="102" t="s">
        <v>4</v>
      </c>
      <c r="C50" s="15" t="s">
        <v>40</v>
      </c>
      <c r="D50" s="260">
        <v>150.08727037164601</v>
      </c>
      <c r="E50" s="73">
        <v>138.590171703446</v>
      </c>
    </row>
    <row r="51" spans="2:5">
      <c r="B51" s="102" t="s">
        <v>6</v>
      </c>
      <c r="C51" s="15" t="s">
        <v>114</v>
      </c>
      <c r="D51" s="260">
        <v>137.8169</v>
      </c>
      <c r="E51" s="73">
        <v>138.0283</v>
      </c>
    </row>
    <row r="52" spans="2:5" ht="12.75" customHeight="1">
      <c r="B52" s="102" t="s">
        <v>8</v>
      </c>
      <c r="C52" s="15" t="s">
        <v>115</v>
      </c>
      <c r="D52" s="260">
        <v>154.6645</v>
      </c>
      <c r="E52" s="73">
        <v>150.6722</v>
      </c>
    </row>
    <row r="53" spans="2:5" ht="13.5" thickBot="1">
      <c r="B53" s="103" t="s">
        <v>9</v>
      </c>
      <c r="C53" s="17" t="s">
        <v>41</v>
      </c>
      <c r="D53" s="209">
        <v>138.590171703446</v>
      </c>
      <c r="E53" s="233">
        <v>146.46639999999999</v>
      </c>
    </row>
    <row r="54" spans="2:5">
      <c r="B54" s="109"/>
      <c r="C54" s="110"/>
      <c r="D54" s="111"/>
      <c r="E54" s="200"/>
    </row>
    <row r="55" spans="2:5" ht="13.5">
      <c r="B55" s="362" t="s">
        <v>62</v>
      </c>
      <c r="C55" s="363"/>
      <c r="D55" s="363"/>
      <c r="E55" s="363"/>
    </row>
    <row r="56" spans="2:5" ht="17.2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D64+D69</f>
        <v>14876307.34</v>
      </c>
      <c r="E58" s="31">
        <f>D58/E21</f>
        <v>1.0011913978601987</v>
      </c>
    </row>
    <row r="59" spans="2:5" ht="25.5">
      <c r="B59" s="21" t="s">
        <v>4</v>
      </c>
      <c r="C59" s="22" t="s">
        <v>44</v>
      </c>
      <c r="D59" s="80">
        <v>0</v>
      </c>
      <c r="E59" s="81">
        <v>0</v>
      </c>
    </row>
    <row r="60" spans="2:5" ht="24" customHeight="1">
      <c r="B60" s="14" t="s">
        <v>6</v>
      </c>
      <c r="C60" s="15" t="s">
        <v>45</v>
      </c>
      <c r="D60" s="78">
        <v>0</v>
      </c>
      <c r="E60" s="79">
        <v>0</v>
      </c>
    </row>
    <row r="61" spans="2:5">
      <c r="B61" s="14" t="s">
        <v>8</v>
      </c>
      <c r="C61" s="15" t="s">
        <v>46</v>
      </c>
      <c r="D61" s="78">
        <v>0</v>
      </c>
      <c r="E61" s="79">
        <v>0</v>
      </c>
    </row>
    <row r="62" spans="2:5">
      <c r="B62" s="14" t="s">
        <v>9</v>
      </c>
      <c r="C62" s="15" t="s">
        <v>47</v>
      </c>
      <c r="D62" s="78">
        <v>0</v>
      </c>
      <c r="E62" s="79">
        <v>0</v>
      </c>
    </row>
    <row r="63" spans="2:5">
      <c r="B63" s="14" t="s">
        <v>29</v>
      </c>
      <c r="C63" s="15" t="s">
        <v>48</v>
      </c>
      <c r="D63" s="78">
        <v>0</v>
      </c>
      <c r="E63" s="79">
        <v>0</v>
      </c>
    </row>
    <row r="64" spans="2:5">
      <c r="B64" s="21" t="s">
        <v>31</v>
      </c>
      <c r="C64" s="22" t="s">
        <v>49</v>
      </c>
      <c r="D64" s="269">
        <f>13720549.58-9492.38</f>
        <v>13711057.199999999</v>
      </c>
      <c r="E64" s="81">
        <f>D64/E21</f>
        <v>0.92276881691590151</v>
      </c>
    </row>
    <row r="65" spans="2:5">
      <c r="B65" s="21" t="s">
        <v>33</v>
      </c>
      <c r="C65" s="22" t="s">
        <v>118</v>
      </c>
      <c r="D65" s="80">
        <v>0</v>
      </c>
      <c r="E65" s="81">
        <v>0</v>
      </c>
    </row>
    <row r="66" spans="2:5">
      <c r="B66" s="21" t="s">
        <v>50</v>
      </c>
      <c r="C66" s="22" t="s">
        <v>51</v>
      </c>
      <c r="D66" s="80">
        <v>0</v>
      </c>
      <c r="E66" s="81">
        <v>0</v>
      </c>
    </row>
    <row r="67" spans="2:5">
      <c r="B67" s="14" t="s">
        <v>52</v>
      </c>
      <c r="C67" s="15" t="s">
        <v>53</v>
      </c>
      <c r="D67" s="78">
        <v>0</v>
      </c>
      <c r="E67" s="79">
        <v>0</v>
      </c>
    </row>
    <row r="68" spans="2:5">
      <c r="B68" s="14" t="s">
        <v>54</v>
      </c>
      <c r="C68" s="15" t="s">
        <v>55</v>
      </c>
      <c r="D68" s="78">
        <v>0</v>
      </c>
      <c r="E68" s="79">
        <v>0</v>
      </c>
    </row>
    <row r="69" spans="2:5">
      <c r="B69" s="14" t="s">
        <v>56</v>
      </c>
      <c r="C69" s="15" t="s">
        <v>57</v>
      </c>
      <c r="D69" s="286">
        <v>1165250.1399999999</v>
      </c>
      <c r="E69" s="79">
        <f>D69/E21</f>
        <v>7.8422580944297174E-2</v>
      </c>
    </row>
    <row r="70" spans="2:5">
      <c r="B70" s="112" t="s">
        <v>58</v>
      </c>
      <c r="C70" s="113" t="s">
        <v>59</v>
      </c>
      <c r="D70" s="114">
        <v>0</v>
      </c>
      <c r="E70" s="115">
        <v>0</v>
      </c>
    </row>
    <row r="71" spans="2:5">
      <c r="B71" s="120" t="s">
        <v>23</v>
      </c>
      <c r="C71" s="121" t="s">
        <v>61</v>
      </c>
      <c r="D71" s="122">
        <f>E13</f>
        <v>13.86</v>
      </c>
      <c r="E71" s="66">
        <v>0</v>
      </c>
    </row>
    <row r="72" spans="2:5">
      <c r="B72" s="116" t="s">
        <v>60</v>
      </c>
      <c r="C72" s="117" t="s">
        <v>63</v>
      </c>
      <c r="D72" s="118">
        <f>E14</f>
        <v>20372.66</v>
      </c>
      <c r="E72" s="119">
        <f>D72/E21</f>
        <v>1.3711018115824E-3</v>
      </c>
    </row>
    <row r="73" spans="2:5">
      <c r="B73" s="23" t="s">
        <v>62</v>
      </c>
      <c r="C73" s="24" t="s">
        <v>65</v>
      </c>
      <c r="D73" s="25">
        <f>E17</f>
        <v>38089.03</v>
      </c>
      <c r="E73" s="26">
        <f>D73/E21</f>
        <v>2.5634324646077824E-3</v>
      </c>
    </row>
    <row r="74" spans="2:5">
      <c r="B74" s="120" t="s">
        <v>64</v>
      </c>
      <c r="C74" s="121" t="s">
        <v>66</v>
      </c>
      <c r="D74" s="122">
        <f>D58+D71+D72-D73</f>
        <v>14858604.83</v>
      </c>
      <c r="E74" s="66">
        <f>E58+E72-E73</f>
        <v>0.99999906720717346</v>
      </c>
    </row>
    <row r="75" spans="2:5">
      <c r="B75" s="14" t="s">
        <v>4</v>
      </c>
      <c r="C75" s="15" t="s">
        <v>67</v>
      </c>
      <c r="D75" s="78">
        <f>D74</f>
        <v>14858604.83</v>
      </c>
      <c r="E75" s="79">
        <f>E74</f>
        <v>0.99999906720717346</v>
      </c>
    </row>
    <row r="76" spans="2:5">
      <c r="B76" s="14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6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18"/>
      <c r="E78" s="218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0">
    <pageSetUpPr fitToPage="1"/>
  </sheetPr>
  <dimension ref="A1:G81"/>
  <sheetViews>
    <sheetView topLeftCell="A40" zoomScale="80" zoomScaleNormal="80" workbookViewId="0">
      <selection activeCell="D42" sqref="D42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41"/>
      <c r="C4" s="141"/>
      <c r="D4" s="141"/>
      <c r="E4" s="141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264</v>
      </c>
      <c r="C6" s="359"/>
      <c r="D6" s="359"/>
      <c r="E6" s="359"/>
    </row>
    <row r="7" spans="2:7" ht="14.25">
      <c r="B7" s="139"/>
      <c r="C7" s="139"/>
      <c r="D7" s="139"/>
      <c r="E7" s="139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40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/>
      <c r="E11" s="244"/>
    </row>
    <row r="12" spans="2:7">
      <c r="B12" s="174" t="s">
        <v>4</v>
      </c>
      <c r="C12" s="175" t="s">
        <v>5</v>
      </c>
      <c r="D12" s="283"/>
      <c r="E12" s="304"/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/>
      <c r="E21" s="148"/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311762.11</v>
      </c>
      <c r="E26" s="231"/>
    </row>
    <row r="27" spans="2:6">
      <c r="B27" s="9" t="s">
        <v>17</v>
      </c>
      <c r="C27" s="10" t="s">
        <v>111</v>
      </c>
      <c r="D27" s="202">
        <v>-308843.92000000004</v>
      </c>
      <c r="E27" s="224"/>
      <c r="F27" s="71"/>
    </row>
    <row r="28" spans="2:6">
      <c r="B28" s="9" t="s">
        <v>18</v>
      </c>
      <c r="C28" s="10" t="s">
        <v>19</v>
      </c>
      <c r="D28" s="202">
        <v>0</v>
      </c>
      <c r="E28" s="225"/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/>
      <c r="E31" s="226"/>
      <c r="F31" s="71"/>
    </row>
    <row r="32" spans="2:6">
      <c r="B32" s="92" t="s">
        <v>23</v>
      </c>
      <c r="C32" s="11" t="s">
        <v>24</v>
      </c>
      <c r="D32" s="202">
        <v>308843.92000000004</v>
      </c>
      <c r="E32" s="225"/>
      <c r="F32" s="71"/>
    </row>
    <row r="33" spans="2:6">
      <c r="B33" s="182" t="s">
        <v>4</v>
      </c>
      <c r="C33" s="175" t="s">
        <v>25</v>
      </c>
      <c r="D33" s="203">
        <v>306491.56</v>
      </c>
      <c r="E33" s="226"/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99.02</v>
      </c>
      <c r="E35" s="226"/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2253.34</v>
      </c>
      <c r="E37" s="226"/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/>
      <c r="E39" s="227"/>
      <c r="F39" s="71"/>
    </row>
    <row r="40" spans="2:6" ht="13.5" thickBot="1">
      <c r="B40" s="97" t="s">
        <v>35</v>
      </c>
      <c r="C40" s="98" t="s">
        <v>36</v>
      </c>
      <c r="D40" s="205">
        <v>-2918.19</v>
      </c>
      <c r="E40" s="232"/>
    </row>
    <row r="41" spans="2:6" ht="13.5" thickBot="1">
      <c r="B41" s="99" t="s">
        <v>37</v>
      </c>
      <c r="C41" s="100" t="s">
        <v>38</v>
      </c>
      <c r="D41" s="206" t="s">
        <v>123</v>
      </c>
      <c r="E41" s="148"/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2668.5106999999998</v>
      </c>
      <c r="E47" s="73"/>
    </row>
    <row r="48" spans="2:6">
      <c r="B48" s="187" t="s">
        <v>6</v>
      </c>
      <c r="C48" s="188" t="s">
        <v>41</v>
      </c>
      <c r="D48" s="207">
        <v>0</v>
      </c>
      <c r="E48" s="149"/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85" t="s">
        <v>4</v>
      </c>
      <c r="C50" s="186" t="s">
        <v>40</v>
      </c>
      <c r="D50" s="207">
        <v>116.83</v>
      </c>
      <c r="E50" s="75"/>
    </row>
    <row r="51" spans="2:5">
      <c r="B51" s="185" t="s">
        <v>6</v>
      </c>
      <c r="C51" s="186" t="s">
        <v>114</v>
      </c>
      <c r="D51" s="207">
        <v>99.9</v>
      </c>
      <c r="E51" s="75"/>
    </row>
    <row r="52" spans="2:5">
      <c r="B52" s="185" t="s">
        <v>8</v>
      </c>
      <c r="C52" s="186" t="s">
        <v>115</v>
      </c>
      <c r="D52" s="207">
        <v>118.67</v>
      </c>
      <c r="E52" s="75"/>
    </row>
    <row r="53" spans="2:5" ht="14.25" customHeight="1" thickBot="1">
      <c r="B53" s="189" t="s">
        <v>9</v>
      </c>
      <c r="C53" s="190" t="s">
        <v>41</v>
      </c>
      <c r="D53" s="209">
        <v>0</v>
      </c>
      <c r="E53" s="233"/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6.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0</v>
      </c>
      <c r="E58" s="31">
        <v>0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0</v>
      </c>
      <c r="E64" s="81">
        <v>0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0</v>
      </c>
      <c r="E74" s="66">
        <f>E58+E72-E73</f>
        <v>0</v>
      </c>
    </row>
    <row r="75" spans="2:5">
      <c r="B75" s="102" t="s">
        <v>4</v>
      </c>
      <c r="C75" s="15" t="s">
        <v>67</v>
      </c>
      <c r="D75" s="78">
        <f>D74</f>
        <v>0</v>
      </c>
      <c r="E75" s="79">
        <f>E74</f>
        <v>0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2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41"/>
      <c r="C4" s="141"/>
      <c r="D4" s="141"/>
      <c r="E4" s="141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230</v>
      </c>
      <c r="C6" s="359"/>
      <c r="D6" s="359"/>
      <c r="E6" s="359"/>
    </row>
    <row r="7" spans="2:7" ht="14.25">
      <c r="B7" s="139"/>
      <c r="C7" s="139"/>
      <c r="D7" s="139"/>
      <c r="E7" s="139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40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89072.15</v>
      </c>
      <c r="E11" s="244">
        <f>SUM(E12:E14)</f>
        <v>94074.91</v>
      </c>
    </row>
    <row r="12" spans="2:7">
      <c r="B12" s="174" t="s">
        <v>4</v>
      </c>
      <c r="C12" s="175" t="s">
        <v>5</v>
      </c>
      <c r="D12" s="283">
        <v>89072.15</v>
      </c>
      <c r="E12" s="304">
        <v>94074.91</v>
      </c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89072.15</v>
      </c>
      <c r="E21" s="148">
        <f>E11-E17</f>
        <v>94074.91</v>
      </c>
      <c r="F21" s="77"/>
    </row>
    <row r="22" spans="2:6">
      <c r="B22" s="3"/>
      <c r="C22" s="7"/>
      <c r="D22" s="8"/>
      <c r="E22" s="222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701126.99</v>
      </c>
      <c r="E26" s="231">
        <f>D21</f>
        <v>89072.15</v>
      </c>
    </row>
    <row r="27" spans="2:6">
      <c r="B27" s="9" t="s">
        <v>17</v>
      </c>
      <c r="C27" s="10" t="s">
        <v>111</v>
      </c>
      <c r="D27" s="202">
        <v>-577810.49999999988</v>
      </c>
      <c r="E27" s="224">
        <v>-1614.37</v>
      </c>
      <c r="F27" s="71"/>
    </row>
    <row r="28" spans="2:6">
      <c r="B28" s="9" t="s">
        <v>18</v>
      </c>
      <c r="C28" s="10" t="s">
        <v>19</v>
      </c>
      <c r="D28" s="202">
        <v>114626.97</v>
      </c>
      <c r="E28" s="225">
        <v>0</v>
      </c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>
        <v>114626.97</v>
      </c>
      <c r="E31" s="226"/>
      <c r="F31" s="71"/>
    </row>
    <row r="32" spans="2:6">
      <c r="B32" s="92" t="s">
        <v>23</v>
      </c>
      <c r="C32" s="11" t="s">
        <v>24</v>
      </c>
      <c r="D32" s="202">
        <v>692437.46999999986</v>
      </c>
      <c r="E32" s="225">
        <v>1614.37</v>
      </c>
      <c r="F32" s="71"/>
    </row>
    <row r="33" spans="2:6">
      <c r="B33" s="182" t="s">
        <v>4</v>
      </c>
      <c r="C33" s="175" t="s">
        <v>25</v>
      </c>
      <c r="D33" s="203">
        <v>668388.56999999995</v>
      </c>
      <c r="E33" s="226"/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210.45</v>
      </c>
      <c r="E35" s="226"/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9397.24</v>
      </c>
      <c r="E37" s="226">
        <v>1614.37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>
        <v>14441.21</v>
      </c>
      <c r="E39" s="227"/>
      <c r="F39" s="71"/>
    </row>
    <row r="40" spans="2:6" ht="13.5" thickBot="1">
      <c r="B40" s="97" t="s">
        <v>35</v>
      </c>
      <c r="C40" s="98" t="s">
        <v>36</v>
      </c>
      <c r="D40" s="205">
        <v>-34244.339999999997</v>
      </c>
      <c r="E40" s="232">
        <v>6617.13</v>
      </c>
    </row>
    <row r="41" spans="2:6" ht="13.5" thickBot="1">
      <c r="B41" s="99" t="s">
        <v>37</v>
      </c>
      <c r="C41" s="100" t="s">
        <v>38</v>
      </c>
      <c r="D41" s="206">
        <v>89072.150000000111</v>
      </c>
      <c r="E41" s="148">
        <f>E26+E27+E40</f>
        <v>94074.91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1264.33</v>
      </c>
      <c r="E47" s="73">
        <v>172.39</v>
      </c>
    </row>
    <row r="48" spans="2:6">
      <c r="B48" s="187" t="s">
        <v>6</v>
      </c>
      <c r="C48" s="188" t="s">
        <v>41</v>
      </c>
      <c r="D48" s="207">
        <v>172.39</v>
      </c>
      <c r="E48" s="149">
        <v>169.45</v>
      </c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85" t="s">
        <v>4</v>
      </c>
      <c r="C50" s="186" t="s">
        <v>40</v>
      </c>
      <c r="D50" s="207">
        <v>554.54430000000002</v>
      </c>
      <c r="E50" s="75">
        <v>516.68979999999999</v>
      </c>
    </row>
    <row r="51" spans="2:5">
      <c r="B51" s="185" t="s">
        <v>6</v>
      </c>
      <c r="C51" s="186" t="s">
        <v>114</v>
      </c>
      <c r="D51" s="207">
        <v>514.94140000000004</v>
      </c>
      <c r="E51" s="75">
        <v>510.9015</v>
      </c>
    </row>
    <row r="52" spans="2:5">
      <c r="B52" s="185" t="s">
        <v>8</v>
      </c>
      <c r="C52" s="186" t="s">
        <v>115</v>
      </c>
      <c r="D52" s="207">
        <v>577.61450000000002</v>
      </c>
      <c r="E52" s="75">
        <v>559.06830000000002</v>
      </c>
    </row>
    <row r="53" spans="2:5" ht="12.75" customHeight="1" thickBot="1">
      <c r="B53" s="189" t="s">
        <v>9</v>
      </c>
      <c r="C53" s="190" t="s">
        <v>41</v>
      </c>
      <c r="D53" s="209">
        <v>516.68979999999999</v>
      </c>
      <c r="E53" s="233">
        <v>555.178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6.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94074.91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94074.91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94074.91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v>0</v>
      </c>
      <c r="E75" s="79">
        <v>0</v>
      </c>
    </row>
    <row r="76" spans="2:5">
      <c r="B76" s="102" t="s">
        <v>6</v>
      </c>
      <c r="C76" s="15" t="s">
        <v>119</v>
      </c>
      <c r="D76" s="78">
        <f>D74</f>
        <v>94074.91</v>
      </c>
      <c r="E76" s="79">
        <f>E74</f>
        <v>1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3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41"/>
      <c r="C4" s="141"/>
      <c r="D4" s="141"/>
      <c r="E4" s="141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231</v>
      </c>
      <c r="C6" s="359"/>
      <c r="D6" s="359"/>
      <c r="E6" s="359"/>
    </row>
    <row r="7" spans="2:7" ht="14.25">
      <c r="B7" s="139"/>
      <c r="C7" s="139"/>
      <c r="D7" s="139"/>
      <c r="E7" s="139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214"/>
      <c r="C10" s="215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44595.06</v>
      </c>
      <c r="E11" s="244">
        <f>SUM(E12:E14)</f>
        <v>52054.239999999998</v>
      </c>
    </row>
    <row r="12" spans="2:7">
      <c r="B12" s="174" t="s">
        <v>4</v>
      </c>
      <c r="C12" s="175" t="s">
        <v>5</v>
      </c>
      <c r="D12" s="283">
        <v>44595.06</v>
      </c>
      <c r="E12" s="304">
        <v>52054.239999999998</v>
      </c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44595.06</v>
      </c>
      <c r="E21" s="148">
        <f>E11-E17</f>
        <v>52054.239999999998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73246.179999999993</v>
      </c>
      <c r="E26" s="231">
        <f>D21</f>
        <v>44595.06</v>
      </c>
    </row>
    <row r="27" spans="2:6">
      <c r="B27" s="9" t="s">
        <v>17</v>
      </c>
      <c r="C27" s="10" t="s">
        <v>111</v>
      </c>
      <c r="D27" s="202">
        <v>-18704.599999999999</v>
      </c>
      <c r="E27" s="224">
        <v>-1614.6</v>
      </c>
      <c r="F27" s="71"/>
    </row>
    <row r="28" spans="2:6">
      <c r="B28" s="9" t="s">
        <v>18</v>
      </c>
      <c r="C28" s="10" t="s">
        <v>19</v>
      </c>
      <c r="D28" s="202">
        <v>0</v>
      </c>
      <c r="E28" s="225">
        <v>0</v>
      </c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/>
      <c r="E31" s="226"/>
      <c r="F31" s="71"/>
    </row>
    <row r="32" spans="2:6">
      <c r="B32" s="92" t="s">
        <v>23</v>
      </c>
      <c r="C32" s="11" t="s">
        <v>24</v>
      </c>
      <c r="D32" s="202">
        <v>18704.599999999999</v>
      </c>
      <c r="E32" s="225">
        <v>1614.6</v>
      </c>
      <c r="F32" s="71"/>
    </row>
    <row r="33" spans="2:6">
      <c r="B33" s="182" t="s">
        <v>4</v>
      </c>
      <c r="C33" s="175" t="s">
        <v>25</v>
      </c>
      <c r="D33" s="203">
        <v>17889.46</v>
      </c>
      <c r="E33" s="226">
        <v>624.55999999999995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132.88999999999999</v>
      </c>
      <c r="E35" s="226">
        <v>196.74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682.25</v>
      </c>
      <c r="E37" s="226">
        <v>793.3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/>
      <c r="E39" s="227"/>
      <c r="F39" s="71"/>
    </row>
    <row r="40" spans="2:6" ht="13.5" thickBot="1">
      <c r="B40" s="97" t="s">
        <v>35</v>
      </c>
      <c r="C40" s="98" t="s">
        <v>36</v>
      </c>
      <c r="D40" s="205">
        <v>-9946.52</v>
      </c>
      <c r="E40" s="232">
        <v>9073.7800000000007</v>
      </c>
    </row>
    <row r="41" spans="2:6" ht="13.5" thickBot="1">
      <c r="B41" s="99" t="s">
        <v>37</v>
      </c>
      <c r="C41" s="100" t="s">
        <v>38</v>
      </c>
      <c r="D41" s="206">
        <v>44595.06</v>
      </c>
      <c r="E41" s="148">
        <f>E26+E27+E40</f>
        <v>52054.239999999998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1123.53</v>
      </c>
      <c r="E47" s="73">
        <v>826.07</v>
      </c>
    </row>
    <row r="48" spans="2:6">
      <c r="B48" s="187" t="s">
        <v>6</v>
      </c>
      <c r="C48" s="188" t="s">
        <v>41</v>
      </c>
      <c r="D48" s="207">
        <v>826.07</v>
      </c>
      <c r="E48" s="149">
        <v>800.08</v>
      </c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85" t="s">
        <v>4</v>
      </c>
      <c r="C50" s="186" t="s">
        <v>40</v>
      </c>
      <c r="D50" s="207">
        <v>65.192899999999995</v>
      </c>
      <c r="E50" s="75">
        <v>53.9846</v>
      </c>
    </row>
    <row r="51" spans="2:5">
      <c r="B51" s="185" t="s">
        <v>6</v>
      </c>
      <c r="C51" s="186" t="s">
        <v>114</v>
      </c>
      <c r="D51" s="207">
        <v>51.077100000000002</v>
      </c>
      <c r="E51" s="75">
        <v>52.552300000000002</v>
      </c>
    </row>
    <row r="52" spans="2:5">
      <c r="B52" s="185" t="s">
        <v>8</v>
      </c>
      <c r="C52" s="186" t="s">
        <v>115</v>
      </c>
      <c r="D52" s="207">
        <v>69.4101</v>
      </c>
      <c r="E52" s="75">
        <v>65.512900000000002</v>
      </c>
    </row>
    <row r="53" spans="2:5" ht="12.75" customHeight="1" thickBot="1">
      <c r="B53" s="189" t="s">
        <v>9</v>
      </c>
      <c r="C53" s="190" t="s">
        <v>41</v>
      </c>
      <c r="D53" s="209">
        <v>53.9846</v>
      </c>
      <c r="E53" s="233">
        <v>65.061300000000003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7.2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52054.239999999998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52054.239999999998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52054.239999999998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v>0</v>
      </c>
      <c r="E75" s="79">
        <v>0</v>
      </c>
    </row>
    <row r="76" spans="2:5">
      <c r="B76" s="102" t="s">
        <v>6</v>
      </c>
      <c r="C76" s="15" t="s">
        <v>119</v>
      </c>
      <c r="D76" s="78">
        <f>D74</f>
        <v>52054.239999999998</v>
      </c>
      <c r="E76" s="79">
        <f>E74</f>
        <v>1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4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41"/>
      <c r="C4" s="141"/>
      <c r="D4" s="141"/>
      <c r="E4" s="141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232</v>
      </c>
      <c r="C6" s="359"/>
      <c r="D6" s="359"/>
      <c r="E6" s="359"/>
    </row>
    <row r="7" spans="2:7" ht="14.25">
      <c r="B7" s="139"/>
      <c r="C7" s="139"/>
      <c r="D7" s="139"/>
      <c r="E7" s="139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40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66325.960000000006</v>
      </c>
      <c r="E11" s="244">
        <f>SUM(E12:E14)</f>
        <v>67198.570000000007</v>
      </c>
    </row>
    <row r="12" spans="2:7">
      <c r="B12" s="174" t="s">
        <v>4</v>
      </c>
      <c r="C12" s="175" t="s">
        <v>5</v>
      </c>
      <c r="D12" s="283">
        <v>66325.960000000006</v>
      </c>
      <c r="E12" s="304">
        <v>67198.570000000007</v>
      </c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66325.960000000006</v>
      </c>
      <c r="E21" s="148">
        <f>E11-E17</f>
        <v>67198.570000000007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157878.49</v>
      </c>
      <c r="E26" s="231">
        <f>D21</f>
        <v>66325.960000000006</v>
      </c>
    </row>
    <row r="27" spans="2:6">
      <c r="B27" s="9" t="s">
        <v>17</v>
      </c>
      <c r="C27" s="10" t="s">
        <v>111</v>
      </c>
      <c r="D27" s="202">
        <v>-87538.98</v>
      </c>
      <c r="E27" s="224">
        <v>-1101.8499999999999</v>
      </c>
      <c r="F27" s="71"/>
    </row>
    <row r="28" spans="2:6">
      <c r="B28" s="9" t="s">
        <v>18</v>
      </c>
      <c r="C28" s="10" t="s">
        <v>19</v>
      </c>
      <c r="D28" s="202">
        <v>0</v>
      </c>
      <c r="E28" s="225">
        <v>0</v>
      </c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/>
      <c r="E31" s="226"/>
      <c r="F31" s="71"/>
    </row>
    <row r="32" spans="2:6">
      <c r="B32" s="92" t="s">
        <v>23</v>
      </c>
      <c r="C32" s="11" t="s">
        <v>24</v>
      </c>
      <c r="D32" s="202">
        <v>87538.98</v>
      </c>
      <c r="E32" s="225">
        <v>1101.8499999999999</v>
      </c>
      <c r="F32" s="71"/>
    </row>
    <row r="33" spans="2:6">
      <c r="B33" s="182" t="s">
        <v>4</v>
      </c>
      <c r="C33" s="175" t="s">
        <v>25</v>
      </c>
      <c r="D33" s="203">
        <v>86021.3</v>
      </c>
      <c r="E33" s="226">
        <v>0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32.619999999999997</v>
      </c>
      <c r="E35" s="226">
        <v>37.83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1485.06</v>
      </c>
      <c r="E37" s="226">
        <v>1064.02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/>
      <c r="E39" s="227"/>
      <c r="F39" s="71"/>
    </row>
    <row r="40" spans="2:6" ht="13.5" thickBot="1">
      <c r="B40" s="97" t="s">
        <v>35</v>
      </c>
      <c r="C40" s="98" t="s">
        <v>36</v>
      </c>
      <c r="D40" s="205">
        <v>-4013.55</v>
      </c>
      <c r="E40" s="232">
        <v>1974.46</v>
      </c>
    </row>
    <row r="41" spans="2:6" ht="13.5" thickBot="1">
      <c r="B41" s="99" t="s">
        <v>37</v>
      </c>
      <c r="C41" s="100" t="s">
        <v>38</v>
      </c>
      <c r="D41" s="206">
        <v>66325.959999999992</v>
      </c>
      <c r="E41" s="148">
        <f>E26+E27+E40</f>
        <v>67198.570000000007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1313.9</v>
      </c>
      <c r="E47" s="73">
        <v>583.62</v>
      </c>
    </row>
    <row r="48" spans="2:6">
      <c r="B48" s="187" t="s">
        <v>6</v>
      </c>
      <c r="C48" s="188" t="s">
        <v>41</v>
      </c>
      <c r="D48" s="207">
        <v>583.62</v>
      </c>
      <c r="E48" s="149">
        <v>574.02</v>
      </c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85" t="s">
        <v>4</v>
      </c>
      <c r="C50" s="186" t="s">
        <v>40</v>
      </c>
      <c r="D50" s="207">
        <v>120.1602</v>
      </c>
      <c r="E50" s="75">
        <v>113.64579999999999</v>
      </c>
    </row>
    <row r="51" spans="2:5">
      <c r="B51" s="185" t="s">
        <v>6</v>
      </c>
      <c r="C51" s="186" t="s">
        <v>114</v>
      </c>
      <c r="D51" s="207">
        <v>111.8567</v>
      </c>
      <c r="E51" s="75">
        <v>113.0044</v>
      </c>
    </row>
    <row r="52" spans="2:5">
      <c r="B52" s="185" t="s">
        <v>8</v>
      </c>
      <c r="C52" s="186" t="s">
        <v>115</v>
      </c>
      <c r="D52" s="207">
        <v>124.75960000000001</v>
      </c>
      <c r="E52" s="75">
        <v>118.3609</v>
      </c>
    </row>
    <row r="53" spans="2:5" ht="13.5" customHeight="1" thickBot="1">
      <c r="B53" s="189" t="s">
        <v>9</v>
      </c>
      <c r="C53" s="190" t="s">
        <v>41</v>
      </c>
      <c r="D53" s="209">
        <v>113.64579999999999</v>
      </c>
      <c r="E53" s="233">
        <v>117.06659999999999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6.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67198.570000000007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67198.570000000007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67198.570000000007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v>0</v>
      </c>
      <c r="E75" s="79">
        <v>0</v>
      </c>
    </row>
    <row r="76" spans="2:5">
      <c r="B76" s="102" t="s">
        <v>6</v>
      </c>
      <c r="C76" s="15" t="s">
        <v>119</v>
      </c>
      <c r="D76" s="78">
        <f>D74</f>
        <v>67198.570000000007</v>
      </c>
      <c r="E76" s="79">
        <f>E74</f>
        <v>1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5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41"/>
      <c r="C4" s="141"/>
      <c r="D4" s="141"/>
      <c r="E4" s="141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233</v>
      </c>
      <c r="C6" s="359"/>
      <c r="D6" s="359"/>
      <c r="E6" s="359"/>
    </row>
    <row r="7" spans="2:7" ht="14.25">
      <c r="B7" s="139"/>
      <c r="C7" s="139"/>
      <c r="D7" s="139"/>
      <c r="E7" s="139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40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1112675.3500000001</v>
      </c>
      <c r="E11" s="244">
        <f>SUM(E12:E14)</f>
        <v>980258.88</v>
      </c>
    </row>
    <row r="12" spans="2:7">
      <c r="B12" s="174" t="s">
        <v>4</v>
      </c>
      <c r="C12" s="175" t="s">
        <v>5</v>
      </c>
      <c r="D12" s="283">
        <v>1112675.3500000001</v>
      </c>
      <c r="E12" s="304">
        <v>980258.88</v>
      </c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1112675.3500000001</v>
      </c>
      <c r="E21" s="148">
        <f>E11-E17</f>
        <v>980258.88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1547000.98</v>
      </c>
      <c r="E26" s="231">
        <f>D21</f>
        <v>1112675.3500000001</v>
      </c>
    </row>
    <row r="27" spans="2:6">
      <c r="B27" s="9" t="s">
        <v>17</v>
      </c>
      <c r="C27" s="10" t="s">
        <v>111</v>
      </c>
      <c r="D27" s="202">
        <v>-207830.84999999998</v>
      </c>
      <c r="E27" s="224">
        <v>-368074.39</v>
      </c>
      <c r="F27" s="71"/>
    </row>
    <row r="28" spans="2:6">
      <c r="B28" s="9" t="s">
        <v>18</v>
      </c>
      <c r="C28" s="10" t="s">
        <v>19</v>
      </c>
      <c r="D28" s="202">
        <v>265262.27</v>
      </c>
      <c r="E28" s="225">
        <v>0</v>
      </c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>
        <v>265262.27</v>
      </c>
      <c r="E31" s="226"/>
      <c r="F31" s="71"/>
    </row>
    <row r="32" spans="2:6">
      <c r="B32" s="92" t="s">
        <v>23</v>
      </c>
      <c r="C32" s="11" t="s">
        <v>24</v>
      </c>
      <c r="D32" s="202">
        <v>473093.12</v>
      </c>
      <c r="E32" s="225">
        <v>368074.39000000013</v>
      </c>
      <c r="F32" s="71"/>
    </row>
    <row r="33" spans="2:6">
      <c r="B33" s="182" t="s">
        <v>4</v>
      </c>
      <c r="C33" s="175" t="s">
        <v>25</v>
      </c>
      <c r="D33" s="203">
        <v>385934.31</v>
      </c>
      <c r="E33" s="226">
        <v>165676.19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1955.74</v>
      </c>
      <c r="E35" s="226">
        <v>2214.58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22389</v>
      </c>
      <c r="E37" s="226">
        <v>16072.07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>
        <v>62814.07</v>
      </c>
      <c r="E39" s="227">
        <v>184111.5500000001</v>
      </c>
      <c r="F39" s="71"/>
    </row>
    <row r="40" spans="2:6" ht="13.5" thickBot="1">
      <c r="B40" s="97" t="s">
        <v>35</v>
      </c>
      <c r="C40" s="98" t="s">
        <v>36</v>
      </c>
      <c r="D40" s="205">
        <v>-226494.78</v>
      </c>
      <c r="E40" s="232">
        <v>235657.92</v>
      </c>
    </row>
    <row r="41" spans="2:6" ht="13.5" thickBot="1">
      <c r="B41" s="99" t="s">
        <v>37</v>
      </c>
      <c r="C41" s="100" t="s">
        <v>38</v>
      </c>
      <c r="D41" s="206">
        <v>1112675.3499999999</v>
      </c>
      <c r="E41" s="148">
        <f>E26+E27+E40</f>
        <v>980258.88000000012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12705.57</v>
      </c>
      <c r="E47" s="73">
        <v>10943.3</v>
      </c>
    </row>
    <row r="48" spans="2:6">
      <c r="B48" s="187" t="s">
        <v>6</v>
      </c>
      <c r="C48" s="188" t="s">
        <v>41</v>
      </c>
      <c r="D48" s="207">
        <v>10943.3</v>
      </c>
      <c r="E48" s="149">
        <v>7697.27</v>
      </c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85" t="s">
        <v>4</v>
      </c>
      <c r="C50" s="186" t="s">
        <v>40</v>
      </c>
      <c r="D50" s="207">
        <v>121.7577</v>
      </c>
      <c r="E50" s="75">
        <v>101.6764</v>
      </c>
    </row>
    <row r="51" spans="2:5">
      <c r="B51" s="185" t="s">
        <v>6</v>
      </c>
      <c r="C51" s="186" t="s">
        <v>114</v>
      </c>
      <c r="D51" s="207">
        <v>99.984800000000007</v>
      </c>
      <c r="E51" s="75">
        <v>101.1045</v>
      </c>
    </row>
    <row r="52" spans="2:5">
      <c r="B52" s="185" t="s">
        <v>8</v>
      </c>
      <c r="C52" s="186" t="s">
        <v>115</v>
      </c>
      <c r="D52" s="207">
        <v>128.25810000000001</v>
      </c>
      <c r="E52" s="75">
        <v>127.8853</v>
      </c>
    </row>
    <row r="53" spans="2:5" ht="12.75" customHeight="1" thickBot="1">
      <c r="B53" s="189" t="s">
        <v>9</v>
      </c>
      <c r="C53" s="190" t="s">
        <v>41</v>
      </c>
      <c r="D53" s="209">
        <v>101.6764</v>
      </c>
      <c r="E53" s="233">
        <v>127.3515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6.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980258.88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980258.88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980258.88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v>0</v>
      </c>
      <c r="E75" s="79">
        <v>0</v>
      </c>
    </row>
    <row r="76" spans="2:5">
      <c r="B76" s="102" t="s">
        <v>6</v>
      </c>
      <c r="C76" s="15" t="s">
        <v>119</v>
      </c>
      <c r="D76" s="78">
        <f>D74</f>
        <v>980258.88</v>
      </c>
      <c r="E76" s="79">
        <f>E74</f>
        <v>1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6">
    <pageSetUpPr fitToPage="1"/>
  </sheetPr>
  <dimension ref="A1:G81"/>
  <sheetViews>
    <sheetView zoomScale="80" zoomScaleNormal="80" workbookViewId="0">
      <selection activeCell="I37" sqref="I37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41"/>
      <c r="C4" s="141"/>
      <c r="D4" s="141"/>
      <c r="E4" s="141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234</v>
      </c>
      <c r="C6" s="359"/>
      <c r="D6" s="359"/>
      <c r="E6" s="359"/>
    </row>
    <row r="7" spans="2:7" ht="14.25">
      <c r="B7" s="139"/>
      <c r="C7" s="139"/>
      <c r="D7" s="139"/>
      <c r="E7" s="139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40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728664.48</v>
      </c>
      <c r="E11" s="244">
        <f>SUM(E12:E14)</f>
        <v>274947.51</v>
      </c>
    </row>
    <row r="12" spans="2:7">
      <c r="B12" s="174" t="s">
        <v>4</v>
      </c>
      <c r="C12" s="175" t="s">
        <v>5</v>
      </c>
      <c r="D12" s="283">
        <v>728664.48</v>
      </c>
      <c r="E12" s="304">
        <f>274972.95-25.44</f>
        <v>274947.51</v>
      </c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728664.48</v>
      </c>
      <c r="E21" s="148">
        <f>E11-E17</f>
        <v>274947.51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1474348.99</v>
      </c>
      <c r="E26" s="231">
        <f>D21</f>
        <v>728664.48</v>
      </c>
    </row>
    <row r="27" spans="2:6">
      <c r="B27" s="9" t="s">
        <v>17</v>
      </c>
      <c r="C27" s="10" t="s">
        <v>111</v>
      </c>
      <c r="D27" s="202">
        <v>-559927.78</v>
      </c>
      <c r="E27" s="224">
        <v>-524097.33</v>
      </c>
      <c r="F27" s="71"/>
    </row>
    <row r="28" spans="2:6">
      <c r="B28" s="9" t="s">
        <v>18</v>
      </c>
      <c r="C28" s="10" t="s">
        <v>19</v>
      </c>
      <c r="D28" s="202">
        <v>4346.87</v>
      </c>
      <c r="E28" s="225">
        <v>0</v>
      </c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>
        <v>4346.87</v>
      </c>
      <c r="E31" s="226"/>
      <c r="F31" s="71"/>
    </row>
    <row r="32" spans="2:6">
      <c r="B32" s="92" t="s">
        <v>23</v>
      </c>
      <c r="C32" s="11" t="s">
        <v>24</v>
      </c>
      <c r="D32" s="202">
        <v>564274.65</v>
      </c>
      <c r="E32" s="225">
        <v>524097.33</v>
      </c>
      <c r="F32" s="71"/>
    </row>
    <row r="33" spans="2:6">
      <c r="B33" s="182" t="s">
        <v>4</v>
      </c>
      <c r="C33" s="175" t="s">
        <v>25</v>
      </c>
      <c r="D33" s="203">
        <v>436542.28</v>
      </c>
      <c r="E33" s="226">
        <f>434112.94+2.68</f>
        <v>434115.62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375.26</v>
      </c>
      <c r="E35" s="226">
        <v>226.82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16339.06</v>
      </c>
      <c r="E37" s="226">
        <v>11937.74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>
        <v>111018.05</v>
      </c>
      <c r="E39" s="227">
        <v>77817.149999999936</v>
      </c>
      <c r="F39" s="71"/>
    </row>
    <row r="40" spans="2:6" ht="13.5" thickBot="1">
      <c r="B40" s="97" t="s">
        <v>35</v>
      </c>
      <c r="C40" s="98" t="s">
        <v>36</v>
      </c>
      <c r="D40" s="205">
        <v>-185756.73</v>
      </c>
      <c r="E40" s="232">
        <v>70380.36</v>
      </c>
    </row>
    <row r="41" spans="2:6" ht="13.5" thickBot="1">
      <c r="B41" s="99" t="s">
        <v>37</v>
      </c>
      <c r="C41" s="100" t="s">
        <v>38</v>
      </c>
      <c r="D41" s="206">
        <v>728664.48</v>
      </c>
      <c r="E41" s="148">
        <f>E26+E27+E40</f>
        <v>274947.50999999995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3059.04</v>
      </c>
      <c r="E47" s="73">
        <v>1921.119983</v>
      </c>
    </row>
    <row r="48" spans="2:6">
      <c r="B48" s="187" t="s">
        <v>6</v>
      </c>
      <c r="C48" s="188" t="s">
        <v>41</v>
      </c>
      <c r="D48" s="207">
        <v>1921.119983</v>
      </c>
      <c r="E48" s="149">
        <v>648.3900000000001</v>
      </c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85" t="s">
        <v>4</v>
      </c>
      <c r="C50" s="186" t="s">
        <v>40</v>
      </c>
      <c r="D50" s="207">
        <v>481.96460000000002</v>
      </c>
      <c r="E50" s="75">
        <v>379.29149999999998</v>
      </c>
    </row>
    <row r="51" spans="2:5">
      <c r="B51" s="185" t="s">
        <v>6</v>
      </c>
      <c r="C51" s="186" t="s">
        <v>114</v>
      </c>
      <c r="D51" s="207">
        <v>373.19549999999998</v>
      </c>
      <c r="E51" s="75">
        <v>379.29149999999998</v>
      </c>
    </row>
    <row r="52" spans="2:5">
      <c r="B52" s="185" t="s">
        <v>8</v>
      </c>
      <c r="C52" s="186" t="s">
        <v>115</v>
      </c>
      <c r="D52" s="207">
        <v>519.31799999999998</v>
      </c>
      <c r="E52" s="234">
        <v>436.92079999999999</v>
      </c>
    </row>
    <row r="53" spans="2:5" ht="12.75" customHeight="1" thickBot="1">
      <c r="B53" s="189" t="s">
        <v>9</v>
      </c>
      <c r="C53" s="190" t="s">
        <v>41</v>
      </c>
      <c r="D53" s="209">
        <v>379.29149999999998</v>
      </c>
      <c r="E53" s="233">
        <v>424.04649999999998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6.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274947.51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274947.51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274947.51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v>0</v>
      </c>
      <c r="E75" s="79">
        <v>0</v>
      </c>
    </row>
    <row r="76" spans="2:5">
      <c r="B76" s="102" t="s">
        <v>6</v>
      </c>
      <c r="C76" s="15" t="s">
        <v>119</v>
      </c>
      <c r="D76" s="78">
        <f>D74</f>
        <v>274947.51</v>
      </c>
      <c r="E76" s="79">
        <f>E74</f>
        <v>1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7">
    <pageSetUpPr fitToPage="1"/>
  </sheetPr>
  <dimension ref="A1:F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141"/>
      <c r="C4" s="141"/>
      <c r="D4" s="141"/>
      <c r="E4" s="141"/>
    </row>
    <row r="5" spans="2:5" ht="21" customHeight="1">
      <c r="B5" s="358" t="s">
        <v>1</v>
      </c>
      <c r="C5" s="358"/>
      <c r="D5" s="358"/>
      <c r="E5" s="358"/>
    </row>
    <row r="6" spans="2:5" ht="14.25">
      <c r="B6" s="359" t="s">
        <v>235</v>
      </c>
      <c r="C6" s="359"/>
      <c r="D6" s="359"/>
      <c r="E6" s="359"/>
    </row>
    <row r="7" spans="2:5" ht="14.25">
      <c r="B7" s="139"/>
      <c r="C7" s="139"/>
      <c r="D7" s="139"/>
      <c r="E7" s="139"/>
    </row>
    <row r="8" spans="2:5" ht="13.5">
      <c r="B8" s="361" t="s">
        <v>18</v>
      </c>
      <c r="C8" s="363"/>
      <c r="D8" s="363"/>
      <c r="E8" s="363"/>
    </row>
    <row r="9" spans="2:5" ht="16.5" thickBot="1">
      <c r="B9" s="360" t="s">
        <v>103</v>
      </c>
      <c r="C9" s="360"/>
      <c r="D9" s="360"/>
      <c r="E9" s="360"/>
    </row>
    <row r="10" spans="2:5" ht="13.5" thickBot="1">
      <c r="B10" s="140"/>
      <c r="C10" s="76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28" t="s">
        <v>109</v>
      </c>
      <c r="D11" s="243">
        <v>741231.13</v>
      </c>
      <c r="E11" s="244">
        <f>SUM(E12:E14)</f>
        <v>638911.03</v>
      </c>
    </row>
    <row r="12" spans="2:5">
      <c r="B12" s="174" t="s">
        <v>4</v>
      </c>
      <c r="C12" s="175" t="s">
        <v>5</v>
      </c>
      <c r="D12" s="283">
        <v>741231.13</v>
      </c>
      <c r="E12" s="304">
        <v>638911.03</v>
      </c>
    </row>
    <row r="13" spans="2:5">
      <c r="B13" s="174" t="s">
        <v>6</v>
      </c>
      <c r="C13" s="176" t="s">
        <v>7</v>
      </c>
      <c r="D13" s="276"/>
      <c r="E13" s="305"/>
    </row>
    <row r="14" spans="2:5">
      <c r="B14" s="174" t="s">
        <v>8</v>
      </c>
      <c r="C14" s="176" t="s">
        <v>10</v>
      </c>
      <c r="D14" s="276"/>
      <c r="E14" s="305"/>
    </row>
    <row r="15" spans="2:5">
      <c r="B15" s="174" t="s">
        <v>106</v>
      </c>
      <c r="C15" s="176" t="s">
        <v>11</v>
      </c>
      <c r="D15" s="276"/>
      <c r="E15" s="305"/>
    </row>
    <row r="16" spans="2:5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741231.13</v>
      </c>
      <c r="E21" s="148">
        <f>E11-E17</f>
        <v>638911.03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1142542.57</v>
      </c>
      <c r="E26" s="231">
        <f>D21</f>
        <v>741231.13</v>
      </c>
    </row>
    <row r="27" spans="2:6">
      <c r="B27" s="9" t="s">
        <v>17</v>
      </c>
      <c r="C27" s="10" t="s">
        <v>111</v>
      </c>
      <c r="D27" s="202">
        <v>-316989.30000000005</v>
      </c>
      <c r="E27" s="224">
        <v>-181749.88</v>
      </c>
      <c r="F27" s="71"/>
    </row>
    <row r="28" spans="2:6">
      <c r="B28" s="9" t="s">
        <v>18</v>
      </c>
      <c r="C28" s="10" t="s">
        <v>19</v>
      </c>
      <c r="D28" s="202">
        <v>152556.06</v>
      </c>
      <c r="E28" s="225">
        <v>0</v>
      </c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>
        <v>152556.06</v>
      </c>
      <c r="E31" s="226"/>
      <c r="F31" s="71"/>
    </row>
    <row r="32" spans="2:6">
      <c r="B32" s="92" t="s">
        <v>23</v>
      </c>
      <c r="C32" s="11" t="s">
        <v>24</v>
      </c>
      <c r="D32" s="202">
        <v>469545.36000000004</v>
      </c>
      <c r="E32" s="225">
        <v>181749.88</v>
      </c>
      <c r="F32" s="71"/>
    </row>
    <row r="33" spans="2:6">
      <c r="B33" s="182" t="s">
        <v>4</v>
      </c>
      <c r="C33" s="175" t="s">
        <v>25</v>
      </c>
      <c r="D33" s="203">
        <v>434005.52</v>
      </c>
      <c r="E33" s="226">
        <v>168337.19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677.63</v>
      </c>
      <c r="E35" s="226">
        <v>634.38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16589.82</v>
      </c>
      <c r="E37" s="226">
        <v>12778.310000000038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>
        <v>18272.39</v>
      </c>
      <c r="E39" s="227"/>
      <c r="F39" s="71"/>
    </row>
    <row r="40" spans="2:6" ht="13.5" thickBot="1">
      <c r="B40" s="97" t="s">
        <v>35</v>
      </c>
      <c r="C40" s="98" t="s">
        <v>36</v>
      </c>
      <c r="D40" s="205">
        <v>-84322.14</v>
      </c>
      <c r="E40" s="232">
        <v>79429.78</v>
      </c>
    </row>
    <row r="41" spans="2:6" ht="13.5" thickBot="1">
      <c r="B41" s="99" t="s">
        <v>37</v>
      </c>
      <c r="C41" s="100" t="s">
        <v>38</v>
      </c>
      <c r="D41" s="206">
        <v>741231.13</v>
      </c>
      <c r="E41" s="148">
        <f>E26+E27+E40</f>
        <v>638911.03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1856.41</v>
      </c>
      <c r="E47" s="73">
        <v>1314.62</v>
      </c>
    </row>
    <row r="48" spans="2:6">
      <c r="B48" s="187" t="s">
        <v>6</v>
      </c>
      <c r="C48" s="188" t="s">
        <v>41</v>
      </c>
      <c r="D48" s="207">
        <v>1314.62</v>
      </c>
      <c r="E48" s="149">
        <v>1018.9</v>
      </c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85" t="s">
        <v>4</v>
      </c>
      <c r="C50" s="186" t="s">
        <v>40</v>
      </c>
      <c r="D50" s="207">
        <v>615.45809999999994</v>
      </c>
      <c r="E50" s="75">
        <v>563.83680000000004</v>
      </c>
    </row>
    <row r="51" spans="2:5">
      <c r="B51" s="185" t="s">
        <v>6</v>
      </c>
      <c r="C51" s="186" t="s">
        <v>114</v>
      </c>
      <c r="D51" s="207">
        <v>560.46709999999996</v>
      </c>
      <c r="E51" s="75">
        <v>563.83680000000004</v>
      </c>
    </row>
    <row r="52" spans="2:5">
      <c r="B52" s="185" t="s">
        <v>8</v>
      </c>
      <c r="C52" s="186" t="s">
        <v>115</v>
      </c>
      <c r="D52" s="207">
        <v>632.10299999999995</v>
      </c>
      <c r="E52" s="75">
        <v>630.51890000000003</v>
      </c>
    </row>
    <row r="53" spans="2:5" ht="13.5" customHeight="1" thickBot="1">
      <c r="B53" s="189" t="s">
        <v>9</v>
      </c>
      <c r="C53" s="190" t="s">
        <v>41</v>
      </c>
      <c r="D53" s="209">
        <v>563.83680000000004</v>
      </c>
      <c r="E53" s="233">
        <v>627.05960000000005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6.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638911.03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638911.03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638911.03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v>0</v>
      </c>
      <c r="E75" s="79">
        <v>0</v>
      </c>
    </row>
    <row r="76" spans="2:5">
      <c r="B76" s="102" t="s">
        <v>6</v>
      </c>
      <c r="C76" s="15" t="s">
        <v>119</v>
      </c>
      <c r="D76" s="78">
        <f>D74</f>
        <v>638911.03</v>
      </c>
      <c r="E76" s="79">
        <f>E74</f>
        <v>1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8">
    <pageSetUpPr fitToPage="1"/>
  </sheetPr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41"/>
      <c r="C4" s="141"/>
      <c r="D4" s="141"/>
      <c r="E4" s="141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236</v>
      </c>
      <c r="C6" s="359"/>
      <c r="D6" s="359"/>
      <c r="E6" s="359"/>
    </row>
    <row r="7" spans="2:7" ht="14.25">
      <c r="B7" s="139"/>
      <c r="C7" s="139"/>
      <c r="D7" s="139"/>
      <c r="E7" s="139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40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692537.26</v>
      </c>
      <c r="E11" s="244">
        <f>SUM(E12:E14)</f>
        <v>726792.91</v>
      </c>
    </row>
    <row r="12" spans="2:7">
      <c r="B12" s="174" t="s">
        <v>4</v>
      </c>
      <c r="C12" s="175" t="s">
        <v>5</v>
      </c>
      <c r="D12" s="283">
        <v>692537.26</v>
      </c>
      <c r="E12" s="304">
        <v>726792.91</v>
      </c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692537.26</v>
      </c>
      <c r="E21" s="148">
        <f>E11-E17</f>
        <v>726792.91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691426.31</v>
      </c>
      <c r="E26" s="231">
        <f>D21</f>
        <v>692537.26</v>
      </c>
    </row>
    <row r="27" spans="2:6">
      <c r="B27" s="9" t="s">
        <v>17</v>
      </c>
      <c r="C27" s="10" t="s">
        <v>111</v>
      </c>
      <c r="D27" s="202">
        <v>80266.840000000011</v>
      </c>
      <c r="E27" s="224">
        <v>-29058.06</v>
      </c>
      <c r="F27" s="71"/>
    </row>
    <row r="28" spans="2:6">
      <c r="B28" s="9" t="s">
        <v>18</v>
      </c>
      <c r="C28" s="10" t="s">
        <v>19</v>
      </c>
      <c r="D28" s="202">
        <v>152552.98000000001</v>
      </c>
      <c r="E28" s="225">
        <v>0</v>
      </c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>
        <v>152552.98000000001</v>
      </c>
      <c r="E31" s="226"/>
      <c r="F31" s="71"/>
    </row>
    <row r="32" spans="2:6">
      <c r="B32" s="92" t="s">
        <v>23</v>
      </c>
      <c r="C32" s="11" t="s">
        <v>24</v>
      </c>
      <c r="D32" s="202">
        <v>72286.14</v>
      </c>
      <c r="E32" s="225">
        <v>29058.06</v>
      </c>
      <c r="F32" s="71"/>
    </row>
    <row r="33" spans="2:6">
      <c r="B33" s="182" t="s">
        <v>4</v>
      </c>
      <c r="C33" s="175" t="s">
        <v>25</v>
      </c>
      <c r="D33" s="203">
        <v>59715.29</v>
      </c>
      <c r="E33" s="226">
        <v>13124.42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163.99</v>
      </c>
      <c r="E35" s="226">
        <v>212.53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12406.86</v>
      </c>
      <c r="E37" s="226">
        <v>11755.52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/>
      <c r="E39" s="227">
        <v>3965.5899999998883</v>
      </c>
      <c r="F39" s="71"/>
    </row>
    <row r="40" spans="2:6" ht="13.5" thickBot="1">
      <c r="B40" s="97" t="s">
        <v>35</v>
      </c>
      <c r="C40" s="98" t="s">
        <v>36</v>
      </c>
      <c r="D40" s="205">
        <v>-79155.89</v>
      </c>
      <c r="E40" s="232">
        <v>63313.71</v>
      </c>
    </row>
    <row r="41" spans="2:6" ht="13.5" thickBot="1">
      <c r="B41" s="99" t="s">
        <v>37</v>
      </c>
      <c r="C41" s="100" t="s">
        <v>38</v>
      </c>
      <c r="D41" s="206">
        <v>692537.26</v>
      </c>
      <c r="E41" s="148">
        <f>E26+E27+E40</f>
        <v>726792.90999999992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1745.02</v>
      </c>
      <c r="E47" s="73">
        <v>1929.68</v>
      </c>
    </row>
    <row r="48" spans="2:6">
      <c r="B48" s="187" t="s">
        <v>6</v>
      </c>
      <c r="C48" s="188" t="s">
        <v>41</v>
      </c>
      <c r="D48" s="207">
        <v>1929.68</v>
      </c>
      <c r="E48" s="149">
        <v>1853.3</v>
      </c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85" t="s">
        <v>4</v>
      </c>
      <c r="C50" s="186" t="s">
        <v>40</v>
      </c>
      <c r="D50" s="207">
        <v>396.22829999999999</v>
      </c>
      <c r="E50" s="75">
        <v>358.88709999999998</v>
      </c>
    </row>
    <row r="51" spans="2:5">
      <c r="B51" s="185" t="s">
        <v>6</v>
      </c>
      <c r="C51" s="186" t="s">
        <v>114</v>
      </c>
      <c r="D51" s="207">
        <v>357.40170000000001</v>
      </c>
      <c r="E51" s="75">
        <v>358.4853</v>
      </c>
    </row>
    <row r="52" spans="2:5">
      <c r="B52" s="185" t="s">
        <v>8</v>
      </c>
      <c r="C52" s="186" t="s">
        <v>115</v>
      </c>
      <c r="D52" s="207">
        <v>405.21620000000001</v>
      </c>
      <c r="E52" s="75">
        <v>397.43599999999998</v>
      </c>
    </row>
    <row r="53" spans="2:5" ht="14.25" customHeight="1" thickBot="1">
      <c r="B53" s="189" t="s">
        <v>9</v>
      </c>
      <c r="C53" s="190" t="s">
        <v>41</v>
      </c>
      <c r="D53" s="209">
        <v>358.88709999999998</v>
      </c>
      <c r="E53" s="233">
        <v>392.16149999999999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5.7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726792.91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726792.91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726792.91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v>0</v>
      </c>
      <c r="E75" s="79">
        <v>0</v>
      </c>
    </row>
    <row r="76" spans="2:5">
      <c r="B76" s="102" t="s">
        <v>6</v>
      </c>
      <c r="C76" s="15" t="s">
        <v>119</v>
      </c>
      <c r="D76" s="78">
        <f>D74</f>
        <v>726792.91</v>
      </c>
      <c r="E76" s="79">
        <f>E74</f>
        <v>1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9">
    <pageSetUpPr fitToPage="1"/>
  </sheetPr>
  <dimension ref="A1:F81"/>
  <sheetViews>
    <sheetView zoomScale="80" zoomScaleNormal="80" workbookViewId="0">
      <selection activeCell="E33" sqref="E33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141"/>
      <c r="C4" s="141"/>
      <c r="D4" s="141"/>
      <c r="E4" s="141"/>
    </row>
    <row r="5" spans="2:5" ht="21" customHeight="1">
      <c r="B5" s="358" t="s">
        <v>1</v>
      </c>
      <c r="C5" s="358"/>
      <c r="D5" s="358"/>
      <c r="E5" s="358"/>
    </row>
    <row r="6" spans="2:5" ht="14.25">
      <c r="B6" s="359" t="s">
        <v>265</v>
      </c>
      <c r="C6" s="359"/>
      <c r="D6" s="359"/>
      <c r="E6" s="359"/>
    </row>
    <row r="7" spans="2:5" ht="14.25">
      <c r="B7" s="139"/>
      <c r="C7" s="139"/>
      <c r="D7" s="139"/>
      <c r="E7" s="139"/>
    </row>
    <row r="8" spans="2:5" ht="13.5">
      <c r="B8" s="361" t="s">
        <v>18</v>
      </c>
      <c r="C8" s="363"/>
      <c r="D8" s="363"/>
      <c r="E8" s="363"/>
    </row>
    <row r="9" spans="2:5" ht="16.5" thickBot="1">
      <c r="B9" s="360" t="s">
        <v>103</v>
      </c>
      <c r="C9" s="360"/>
      <c r="D9" s="360"/>
      <c r="E9" s="360"/>
    </row>
    <row r="10" spans="2:5" ht="13.5" thickBot="1">
      <c r="B10" s="140"/>
      <c r="C10" s="76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28" t="s">
        <v>109</v>
      </c>
      <c r="D11" s="243"/>
      <c r="E11" s="244">
        <f>E12</f>
        <v>0</v>
      </c>
    </row>
    <row r="12" spans="2:5">
      <c r="B12" s="174" t="s">
        <v>4</v>
      </c>
      <c r="C12" s="175" t="s">
        <v>5</v>
      </c>
      <c r="D12" s="283"/>
      <c r="E12" s="304">
        <f>45.16-45.16</f>
        <v>0</v>
      </c>
    </row>
    <row r="13" spans="2:5">
      <c r="B13" s="174" t="s">
        <v>6</v>
      </c>
      <c r="C13" s="176" t="s">
        <v>7</v>
      </c>
      <c r="D13" s="276"/>
      <c r="E13" s="305"/>
    </row>
    <row r="14" spans="2:5">
      <c r="B14" s="174" t="s">
        <v>8</v>
      </c>
      <c r="C14" s="176" t="s">
        <v>10</v>
      </c>
      <c r="D14" s="276"/>
      <c r="E14" s="305"/>
    </row>
    <row r="15" spans="2:5">
      <c r="B15" s="174" t="s">
        <v>106</v>
      </c>
      <c r="C15" s="176" t="s">
        <v>11</v>
      </c>
      <c r="D15" s="276"/>
      <c r="E15" s="305"/>
    </row>
    <row r="16" spans="2:5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/>
      <c r="E21" s="148">
        <f>E12</f>
        <v>0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0</v>
      </c>
      <c r="E26" s="231">
        <f>D21</f>
        <v>0</v>
      </c>
    </row>
    <row r="27" spans="2:6">
      <c r="B27" s="9" t="s">
        <v>17</v>
      </c>
      <c r="C27" s="10" t="s">
        <v>111</v>
      </c>
      <c r="D27" s="202">
        <v>-0.78</v>
      </c>
      <c r="E27" s="224">
        <f>-E32</f>
        <v>-0.69</v>
      </c>
      <c r="F27" s="71"/>
    </row>
    <row r="28" spans="2:6">
      <c r="B28" s="9" t="s">
        <v>18</v>
      </c>
      <c r="C28" s="10" t="s">
        <v>19</v>
      </c>
      <c r="D28" s="202">
        <v>0</v>
      </c>
      <c r="E28" s="225" t="s">
        <v>123</v>
      </c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/>
      <c r="E31" s="226"/>
      <c r="F31" s="71"/>
    </row>
    <row r="32" spans="2:6">
      <c r="B32" s="92" t="s">
        <v>23</v>
      </c>
      <c r="C32" s="11" t="s">
        <v>24</v>
      </c>
      <c r="D32" s="202">
        <v>0.78</v>
      </c>
      <c r="E32" s="225">
        <f>SUM(E33:E39)</f>
        <v>0.69</v>
      </c>
      <c r="F32" s="71"/>
    </row>
    <row r="33" spans="2:6">
      <c r="B33" s="182" t="s">
        <v>4</v>
      </c>
      <c r="C33" s="175" t="s">
        <v>25</v>
      </c>
      <c r="D33" s="203"/>
      <c r="E33" s="226"/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/>
      <c r="E35" s="226"/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/>
      <c r="E37" s="226"/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>
        <v>0.78</v>
      </c>
      <c r="E39" s="227">
        <v>0.69</v>
      </c>
      <c r="F39" s="71"/>
    </row>
    <row r="40" spans="2:6" ht="13.5" thickBot="1">
      <c r="B40" s="97" t="s">
        <v>35</v>
      </c>
      <c r="C40" s="98" t="s">
        <v>36</v>
      </c>
      <c r="D40" s="205">
        <v>0.78</v>
      </c>
      <c r="E40" s="232">
        <v>0.69</v>
      </c>
    </row>
    <row r="41" spans="2:6" ht="13.5" thickBot="1">
      <c r="B41" s="99" t="s">
        <v>37</v>
      </c>
      <c r="C41" s="100" t="s">
        <v>38</v>
      </c>
      <c r="D41" s="206">
        <v>0</v>
      </c>
      <c r="E41" s="148">
        <f>E26+E27+E40</f>
        <v>0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0</v>
      </c>
      <c r="E47" s="73"/>
    </row>
    <row r="48" spans="2:6">
      <c r="B48" s="187" t="s">
        <v>6</v>
      </c>
      <c r="C48" s="188" t="s">
        <v>41</v>
      </c>
      <c r="D48" s="207">
        <v>0</v>
      </c>
      <c r="E48" s="149"/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85" t="s">
        <v>4</v>
      </c>
      <c r="C50" s="186" t="s">
        <v>40</v>
      </c>
      <c r="D50" s="207">
        <v>0</v>
      </c>
      <c r="E50" s="75"/>
    </row>
    <row r="51" spans="2:5">
      <c r="B51" s="185" t="s">
        <v>6</v>
      </c>
      <c r="C51" s="186" t="s">
        <v>114</v>
      </c>
      <c r="D51" s="207">
        <v>345.93</v>
      </c>
      <c r="E51" s="234">
        <v>351.94</v>
      </c>
    </row>
    <row r="52" spans="2:5">
      <c r="B52" s="185" t="s">
        <v>8</v>
      </c>
      <c r="C52" s="186" t="s">
        <v>115</v>
      </c>
      <c r="D52" s="207">
        <v>352.07</v>
      </c>
      <c r="E52" s="234">
        <v>357.58</v>
      </c>
    </row>
    <row r="53" spans="2:5" ht="12.75" customHeight="1" thickBot="1">
      <c r="B53" s="189" t="s">
        <v>9</v>
      </c>
      <c r="C53" s="190" t="s">
        <v>41</v>
      </c>
      <c r="D53" s="209">
        <v>0</v>
      </c>
      <c r="E53" s="233"/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6.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0</v>
      </c>
      <c r="E58" s="31">
        <v>0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E12</f>
        <v>0</v>
      </c>
      <c r="E64" s="81">
        <v>0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f>E17</f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D58-D73</f>
        <v>0</v>
      </c>
      <c r="E74" s="66">
        <f>E58+E72-E73</f>
        <v>0</v>
      </c>
    </row>
    <row r="75" spans="2:5">
      <c r="B75" s="102" t="s">
        <v>4</v>
      </c>
      <c r="C75" s="15" t="s">
        <v>67</v>
      </c>
      <c r="D75" s="78">
        <f>D74</f>
        <v>0</v>
      </c>
      <c r="E75" s="79">
        <f>E74</f>
        <v>0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0">
    <pageSetUpPr fitToPage="1"/>
  </sheetPr>
  <dimension ref="A1:H81"/>
  <sheetViews>
    <sheetView zoomScale="80" zoomScaleNormal="80" workbookViewId="0">
      <selection activeCell="G21" sqref="G2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8" max="8" width="12.42578125" bestFit="1" customWidth="1"/>
  </cols>
  <sheetData>
    <row r="1" spans="2:8">
      <c r="B1" s="1"/>
      <c r="C1" s="1"/>
      <c r="D1" s="2"/>
      <c r="E1" s="2"/>
    </row>
    <row r="2" spans="2:8" ht="15.75">
      <c r="B2" s="357" t="s">
        <v>0</v>
      </c>
      <c r="C2" s="357"/>
      <c r="D2" s="357"/>
      <c r="E2" s="357"/>
      <c r="H2" s="71"/>
    </row>
    <row r="3" spans="2:8" ht="15.75">
      <c r="B3" s="357" t="s">
        <v>267</v>
      </c>
      <c r="C3" s="357"/>
      <c r="D3" s="357"/>
      <c r="E3" s="357"/>
    </row>
    <row r="4" spans="2:8" ht="15">
      <c r="B4" s="144"/>
      <c r="C4" s="144"/>
      <c r="D4" s="144"/>
      <c r="E4" s="144"/>
    </row>
    <row r="5" spans="2:8" ht="21" customHeight="1">
      <c r="B5" s="358" t="s">
        <v>1</v>
      </c>
      <c r="C5" s="358"/>
      <c r="D5" s="358"/>
      <c r="E5" s="358"/>
    </row>
    <row r="6" spans="2:8" ht="14.25">
      <c r="B6" s="359" t="s">
        <v>237</v>
      </c>
      <c r="C6" s="359"/>
      <c r="D6" s="359"/>
      <c r="E6" s="359"/>
    </row>
    <row r="7" spans="2:8" ht="14.25">
      <c r="B7" s="142"/>
      <c r="C7" s="142"/>
      <c r="D7" s="142"/>
      <c r="E7" s="142"/>
    </row>
    <row r="8" spans="2:8" ht="13.5">
      <c r="B8" s="361" t="s">
        <v>18</v>
      </c>
      <c r="C8" s="363"/>
      <c r="D8" s="363"/>
      <c r="E8" s="363"/>
    </row>
    <row r="9" spans="2:8" ht="16.5" thickBot="1">
      <c r="B9" s="360" t="s">
        <v>103</v>
      </c>
      <c r="C9" s="360"/>
      <c r="D9" s="360"/>
      <c r="E9" s="360"/>
    </row>
    <row r="10" spans="2:8" ht="13.5" thickBot="1">
      <c r="B10" s="143"/>
      <c r="C10" s="76" t="s">
        <v>2</v>
      </c>
      <c r="D10" s="70" t="s">
        <v>125</v>
      </c>
      <c r="E10" s="319" t="s">
        <v>268</v>
      </c>
    </row>
    <row r="11" spans="2:8">
      <c r="B11" s="90" t="s">
        <v>3</v>
      </c>
      <c r="C11" s="128" t="s">
        <v>109</v>
      </c>
      <c r="D11" s="243">
        <v>13683.78</v>
      </c>
      <c r="E11" s="244">
        <f>SUM(E12:E14)</f>
        <v>9953.7099999999991</v>
      </c>
    </row>
    <row r="12" spans="2:8">
      <c r="B12" s="174" t="s">
        <v>4</v>
      </c>
      <c r="C12" s="175" t="s">
        <v>5</v>
      </c>
      <c r="D12" s="283">
        <v>13683.78</v>
      </c>
      <c r="E12" s="304">
        <v>9953.7099999999991</v>
      </c>
    </row>
    <row r="13" spans="2:8">
      <c r="B13" s="174" t="s">
        <v>6</v>
      </c>
      <c r="C13" s="176" t="s">
        <v>7</v>
      </c>
      <c r="D13" s="276"/>
      <c r="E13" s="305"/>
    </row>
    <row r="14" spans="2:8">
      <c r="B14" s="174" t="s">
        <v>8</v>
      </c>
      <c r="C14" s="176" t="s">
        <v>10</v>
      </c>
      <c r="D14" s="276"/>
      <c r="E14" s="305"/>
    </row>
    <row r="15" spans="2:8">
      <c r="B15" s="174" t="s">
        <v>106</v>
      </c>
      <c r="C15" s="176" t="s">
        <v>11</v>
      </c>
      <c r="D15" s="276"/>
      <c r="E15" s="305"/>
    </row>
    <row r="16" spans="2:8">
      <c r="B16" s="177" t="s">
        <v>107</v>
      </c>
      <c r="C16" s="178" t="s">
        <v>12</v>
      </c>
      <c r="D16" s="278"/>
      <c r="E16" s="306"/>
    </row>
    <row r="17" spans="2:7">
      <c r="B17" s="9" t="s">
        <v>13</v>
      </c>
      <c r="C17" s="11" t="s">
        <v>65</v>
      </c>
      <c r="D17" s="279"/>
      <c r="E17" s="307"/>
    </row>
    <row r="18" spans="2:7">
      <c r="B18" s="174" t="s">
        <v>4</v>
      </c>
      <c r="C18" s="175" t="s">
        <v>11</v>
      </c>
      <c r="D18" s="278"/>
      <c r="E18" s="306"/>
    </row>
    <row r="19" spans="2:7" ht="15" customHeight="1">
      <c r="B19" s="174" t="s">
        <v>6</v>
      </c>
      <c r="C19" s="176" t="s">
        <v>108</v>
      </c>
      <c r="D19" s="276"/>
      <c r="E19" s="305"/>
    </row>
    <row r="20" spans="2:7" ht="13.5" thickBot="1">
      <c r="B20" s="179" t="s">
        <v>8</v>
      </c>
      <c r="C20" s="180" t="s">
        <v>14</v>
      </c>
      <c r="D20" s="245"/>
      <c r="E20" s="246"/>
    </row>
    <row r="21" spans="2:7" ht="13.5" thickBot="1">
      <c r="B21" s="367" t="s">
        <v>110</v>
      </c>
      <c r="C21" s="368"/>
      <c r="D21" s="247">
        <v>13683.78</v>
      </c>
      <c r="E21" s="148">
        <f>E11-E17</f>
        <v>9953.7099999999991</v>
      </c>
      <c r="F21" s="77"/>
      <c r="G21" s="67"/>
    </row>
    <row r="22" spans="2:7">
      <c r="B22" s="3"/>
      <c r="C22" s="7"/>
      <c r="D22" s="8"/>
      <c r="E22" s="8"/>
    </row>
    <row r="23" spans="2:7" ht="13.5">
      <c r="B23" s="361" t="s">
        <v>104</v>
      </c>
      <c r="C23" s="371"/>
      <c r="D23" s="371"/>
      <c r="E23" s="371"/>
    </row>
    <row r="24" spans="2:7" ht="15.75" customHeight="1" thickBot="1">
      <c r="B24" s="360" t="s">
        <v>105</v>
      </c>
      <c r="C24" s="372"/>
      <c r="D24" s="372"/>
      <c r="E24" s="372"/>
    </row>
    <row r="25" spans="2:7" ht="13.5" thickBot="1">
      <c r="B25" s="214"/>
      <c r="C25" s="181" t="s">
        <v>2</v>
      </c>
      <c r="D25" s="70" t="s">
        <v>125</v>
      </c>
      <c r="E25" s="319" t="s">
        <v>268</v>
      </c>
    </row>
    <row r="26" spans="2:7">
      <c r="B26" s="95" t="s">
        <v>15</v>
      </c>
      <c r="C26" s="96" t="s">
        <v>16</v>
      </c>
      <c r="D26" s="201">
        <v>18631.87</v>
      </c>
      <c r="E26" s="231">
        <f>D21</f>
        <v>13683.78</v>
      </c>
    </row>
    <row r="27" spans="2:7">
      <c r="B27" s="9" t="s">
        <v>17</v>
      </c>
      <c r="C27" s="10" t="s">
        <v>111</v>
      </c>
      <c r="D27" s="202">
        <v>-4413.99</v>
      </c>
      <c r="E27" s="224">
        <v>-4444.66</v>
      </c>
      <c r="F27" s="71"/>
    </row>
    <row r="28" spans="2:7">
      <c r="B28" s="9" t="s">
        <v>18</v>
      </c>
      <c r="C28" s="10" t="s">
        <v>19</v>
      </c>
      <c r="D28" s="202">
        <v>0</v>
      </c>
      <c r="E28" s="225">
        <v>0</v>
      </c>
      <c r="F28" s="71"/>
    </row>
    <row r="29" spans="2:7">
      <c r="B29" s="182" t="s">
        <v>4</v>
      </c>
      <c r="C29" s="175" t="s">
        <v>20</v>
      </c>
      <c r="D29" s="203"/>
      <c r="E29" s="226"/>
      <c r="F29" s="71"/>
    </row>
    <row r="30" spans="2:7">
      <c r="B30" s="182" t="s">
        <v>6</v>
      </c>
      <c r="C30" s="175" t="s">
        <v>21</v>
      </c>
      <c r="D30" s="203"/>
      <c r="E30" s="226"/>
      <c r="F30" s="71"/>
    </row>
    <row r="31" spans="2:7">
      <c r="B31" s="182" t="s">
        <v>8</v>
      </c>
      <c r="C31" s="175" t="s">
        <v>22</v>
      </c>
      <c r="D31" s="203"/>
      <c r="E31" s="226"/>
      <c r="F31" s="71"/>
    </row>
    <row r="32" spans="2:7">
      <c r="B32" s="92" t="s">
        <v>23</v>
      </c>
      <c r="C32" s="11" t="s">
        <v>24</v>
      </c>
      <c r="D32" s="202">
        <v>4413.99</v>
      </c>
      <c r="E32" s="225">
        <v>4444.66</v>
      </c>
      <c r="F32" s="71"/>
    </row>
    <row r="33" spans="2:6">
      <c r="B33" s="182" t="s">
        <v>4</v>
      </c>
      <c r="C33" s="175" t="s">
        <v>25</v>
      </c>
      <c r="D33" s="203">
        <v>3987.72</v>
      </c>
      <c r="E33" s="226">
        <v>4175.47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70.64</v>
      </c>
      <c r="E35" s="226">
        <v>46.29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355.63</v>
      </c>
      <c r="E37" s="226">
        <v>222.9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/>
      <c r="E39" s="227"/>
      <c r="F39" s="71"/>
    </row>
    <row r="40" spans="2:6" ht="13.5" thickBot="1">
      <c r="B40" s="97" t="s">
        <v>35</v>
      </c>
      <c r="C40" s="98" t="s">
        <v>36</v>
      </c>
      <c r="D40" s="205">
        <v>-534.1</v>
      </c>
      <c r="E40" s="232">
        <v>714.59</v>
      </c>
    </row>
    <row r="41" spans="2:6" ht="13.5" thickBot="1">
      <c r="B41" s="99" t="s">
        <v>37</v>
      </c>
      <c r="C41" s="100" t="s">
        <v>38</v>
      </c>
      <c r="D41" s="206">
        <v>13683.779999999999</v>
      </c>
      <c r="E41" s="148">
        <f>E26+E27+E40</f>
        <v>9953.7100000000009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134.68170000000001</v>
      </c>
      <c r="E47" s="73">
        <v>102.50020000000001</v>
      </c>
    </row>
    <row r="48" spans="2:6">
      <c r="B48" s="187" t="s">
        <v>6</v>
      </c>
      <c r="C48" s="188" t="s">
        <v>41</v>
      </c>
      <c r="D48" s="207">
        <v>102.50020000000001</v>
      </c>
      <c r="E48" s="149">
        <v>70.588700000000003</v>
      </c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85" t="s">
        <v>4</v>
      </c>
      <c r="C50" s="186" t="s">
        <v>40</v>
      </c>
      <c r="D50" s="207">
        <v>138.34</v>
      </c>
      <c r="E50" s="75">
        <v>133.5</v>
      </c>
    </row>
    <row r="51" spans="2:5">
      <c r="B51" s="185" t="s">
        <v>6</v>
      </c>
      <c r="C51" s="186" t="s">
        <v>114</v>
      </c>
      <c r="D51" s="207">
        <v>133.13</v>
      </c>
      <c r="E51" s="75">
        <v>133.32</v>
      </c>
    </row>
    <row r="52" spans="2:5">
      <c r="B52" s="185" t="s">
        <v>8</v>
      </c>
      <c r="C52" s="186" t="s">
        <v>115</v>
      </c>
      <c r="D52" s="207">
        <v>139.07</v>
      </c>
      <c r="E52" s="75">
        <v>141.03</v>
      </c>
    </row>
    <row r="53" spans="2:5" ht="12.75" customHeight="1" thickBot="1">
      <c r="B53" s="189" t="s">
        <v>9</v>
      </c>
      <c r="C53" s="190" t="s">
        <v>41</v>
      </c>
      <c r="D53" s="209">
        <v>133.5</v>
      </c>
      <c r="E53" s="233">
        <v>141.01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6.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9953.7099999999991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3.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9953.7099999999991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9953.7099999999991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9953.7099999999991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F81"/>
  <sheetViews>
    <sheetView zoomScale="80" zoomScaleNormal="80" workbookViewId="0">
      <selection activeCell="G1" sqref="G1:Q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85"/>
      <c r="C4" s="85"/>
      <c r="D4" s="85"/>
      <c r="E4" s="85"/>
    </row>
    <row r="5" spans="2:5" ht="21" customHeight="1">
      <c r="B5" s="358" t="s">
        <v>1</v>
      </c>
      <c r="C5" s="358"/>
      <c r="D5" s="358"/>
      <c r="E5" s="358"/>
    </row>
    <row r="6" spans="2:5" ht="14.25">
      <c r="B6" s="359" t="s">
        <v>143</v>
      </c>
      <c r="C6" s="359"/>
      <c r="D6" s="359"/>
      <c r="E6" s="359"/>
    </row>
    <row r="7" spans="2:5" ht="14.25">
      <c r="B7" s="89"/>
      <c r="C7" s="89"/>
      <c r="D7" s="89"/>
      <c r="E7" s="89"/>
    </row>
    <row r="8" spans="2:5" ht="13.5">
      <c r="B8" s="361" t="s">
        <v>18</v>
      </c>
      <c r="C8" s="363"/>
      <c r="D8" s="363"/>
      <c r="E8" s="363"/>
    </row>
    <row r="9" spans="2:5" ht="16.5" thickBot="1">
      <c r="B9" s="360" t="s">
        <v>103</v>
      </c>
      <c r="C9" s="360"/>
      <c r="D9" s="360"/>
      <c r="E9" s="360"/>
    </row>
    <row r="10" spans="2:5" ht="13.5" thickBot="1">
      <c r="B10" s="86"/>
      <c r="C10" s="76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28" t="s">
        <v>109</v>
      </c>
      <c r="D11" s="243">
        <v>11434728.35</v>
      </c>
      <c r="E11" s="244">
        <f>SUM(E12:E14)</f>
        <v>10213580.77</v>
      </c>
    </row>
    <row r="12" spans="2:5">
      <c r="B12" s="106" t="s">
        <v>4</v>
      </c>
      <c r="C12" s="6" t="s">
        <v>5</v>
      </c>
      <c r="D12" s="283">
        <v>11410854.119999999</v>
      </c>
      <c r="E12" s="304">
        <f>9063200.59+1137145.37-4056.88</f>
        <v>10196289.08</v>
      </c>
    </row>
    <row r="13" spans="2:5">
      <c r="B13" s="106" t="s">
        <v>6</v>
      </c>
      <c r="C13" s="68" t="s">
        <v>7</v>
      </c>
      <c r="D13" s="276"/>
      <c r="E13" s="305"/>
    </row>
    <row r="14" spans="2:5">
      <c r="B14" s="106" t="s">
        <v>8</v>
      </c>
      <c r="C14" s="68" t="s">
        <v>10</v>
      </c>
      <c r="D14" s="276">
        <v>23874.23</v>
      </c>
      <c r="E14" s="305">
        <f>E15</f>
        <v>17291.689999999999</v>
      </c>
    </row>
    <row r="15" spans="2:5">
      <c r="B15" s="106" t="s">
        <v>106</v>
      </c>
      <c r="C15" s="68" t="s">
        <v>11</v>
      </c>
      <c r="D15" s="276">
        <v>23874.23</v>
      </c>
      <c r="E15" s="305">
        <v>17291.689999999999</v>
      </c>
    </row>
    <row r="16" spans="2:5">
      <c r="B16" s="107" t="s">
        <v>107</v>
      </c>
      <c r="C16" s="91" t="s">
        <v>12</v>
      </c>
      <c r="D16" s="278"/>
      <c r="E16" s="306"/>
    </row>
    <row r="17" spans="2:6">
      <c r="B17" s="9" t="s">
        <v>13</v>
      </c>
      <c r="C17" s="11" t="s">
        <v>65</v>
      </c>
      <c r="D17" s="279">
        <v>16964.79</v>
      </c>
      <c r="E17" s="307">
        <f>E18</f>
        <v>36703.17</v>
      </c>
    </row>
    <row r="18" spans="2:6">
      <c r="B18" s="106" t="s">
        <v>4</v>
      </c>
      <c r="C18" s="6" t="s">
        <v>11</v>
      </c>
      <c r="D18" s="278">
        <v>16964.79</v>
      </c>
      <c r="E18" s="306">
        <v>36703.17</v>
      </c>
    </row>
    <row r="19" spans="2:6" ht="15" customHeight="1">
      <c r="B19" s="106" t="s">
        <v>6</v>
      </c>
      <c r="C19" s="68" t="s">
        <v>108</v>
      </c>
      <c r="D19" s="276"/>
      <c r="E19" s="305"/>
    </row>
    <row r="20" spans="2:6" ht="13.5" thickBot="1">
      <c r="B20" s="108" t="s">
        <v>8</v>
      </c>
      <c r="C20" s="69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11417763.560000001</v>
      </c>
      <c r="E21" s="148">
        <f>E11-E17</f>
        <v>10176877.6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69"/>
      <c r="D23" s="369"/>
      <c r="E23" s="369"/>
    </row>
    <row r="24" spans="2:6" ht="18" customHeight="1" thickBot="1">
      <c r="B24" s="360" t="s">
        <v>105</v>
      </c>
      <c r="C24" s="370"/>
      <c r="D24" s="370"/>
      <c r="E24" s="370"/>
    </row>
    <row r="25" spans="2:6" ht="13.5" thickBot="1">
      <c r="B25" s="86"/>
      <c r="C25" s="5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16103957.739999998</v>
      </c>
      <c r="E26" s="231">
        <f>D21</f>
        <v>11417763.560000001</v>
      </c>
    </row>
    <row r="27" spans="2:6">
      <c r="B27" s="9" t="s">
        <v>17</v>
      </c>
      <c r="C27" s="10" t="s">
        <v>111</v>
      </c>
      <c r="D27" s="202">
        <v>-2398263.8200000003</v>
      </c>
      <c r="E27" s="224">
        <f>E28-E32</f>
        <v>-2066749.2900000014</v>
      </c>
      <c r="F27" s="71"/>
    </row>
    <row r="28" spans="2:6">
      <c r="B28" s="9" t="s">
        <v>18</v>
      </c>
      <c r="C28" s="10" t="s">
        <v>19</v>
      </c>
      <c r="D28" s="202">
        <v>1314825.3600000001</v>
      </c>
      <c r="E28" s="225">
        <v>1102532.8700000001</v>
      </c>
      <c r="F28" s="71"/>
    </row>
    <row r="29" spans="2:6">
      <c r="B29" s="104" t="s">
        <v>4</v>
      </c>
      <c r="C29" s="6" t="s">
        <v>20</v>
      </c>
      <c r="D29" s="203">
        <v>1264569.6299999999</v>
      </c>
      <c r="E29" s="226">
        <v>1088521.49</v>
      </c>
      <c r="F29" s="71"/>
    </row>
    <row r="30" spans="2:6">
      <c r="B30" s="104" t="s">
        <v>6</v>
      </c>
      <c r="C30" s="6" t="s">
        <v>21</v>
      </c>
      <c r="D30" s="203"/>
      <c r="E30" s="226"/>
      <c r="F30" s="71"/>
    </row>
    <row r="31" spans="2:6">
      <c r="B31" s="104" t="s">
        <v>8</v>
      </c>
      <c r="C31" s="6" t="s">
        <v>22</v>
      </c>
      <c r="D31" s="203">
        <v>50255.73</v>
      </c>
      <c r="E31" s="226">
        <v>14011.38</v>
      </c>
      <c r="F31" s="71"/>
    </row>
    <row r="32" spans="2:6">
      <c r="B32" s="92" t="s">
        <v>23</v>
      </c>
      <c r="C32" s="11" t="s">
        <v>24</v>
      </c>
      <c r="D32" s="202">
        <v>3713089.1800000006</v>
      </c>
      <c r="E32" s="225">
        <f>SUM(E33:E39)</f>
        <v>3169282.1600000015</v>
      </c>
      <c r="F32" s="71"/>
    </row>
    <row r="33" spans="2:6">
      <c r="B33" s="104" t="s">
        <v>4</v>
      </c>
      <c r="C33" s="6" t="s">
        <v>25</v>
      </c>
      <c r="D33" s="203">
        <v>3076672.5100000002</v>
      </c>
      <c r="E33" s="226">
        <f>2504904.55+1793.38</f>
        <v>2506697.9299999997</v>
      </c>
      <c r="F33" s="71"/>
    </row>
    <row r="34" spans="2:6">
      <c r="B34" s="104" t="s">
        <v>6</v>
      </c>
      <c r="C34" s="6" t="s">
        <v>26</v>
      </c>
      <c r="D34" s="203"/>
      <c r="E34" s="226"/>
      <c r="F34" s="71"/>
    </row>
    <row r="35" spans="2:6">
      <c r="B35" s="104" t="s">
        <v>8</v>
      </c>
      <c r="C35" s="6" t="s">
        <v>27</v>
      </c>
      <c r="D35" s="203">
        <v>137586.13999999998</v>
      </c>
      <c r="E35" s="226">
        <v>138223.91999999998</v>
      </c>
      <c r="F35" s="71"/>
    </row>
    <row r="36" spans="2:6">
      <c r="B36" s="104" t="s">
        <v>9</v>
      </c>
      <c r="C36" s="6" t="s">
        <v>28</v>
      </c>
      <c r="D36" s="203"/>
      <c r="E36" s="226"/>
      <c r="F36" s="71"/>
    </row>
    <row r="37" spans="2:6" ht="25.5">
      <c r="B37" s="104" t="s">
        <v>29</v>
      </c>
      <c r="C37" s="6" t="s">
        <v>30</v>
      </c>
      <c r="D37" s="203">
        <v>223372.97</v>
      </c>
      <c r="E37" s="226">
        <v>170962.22</v>
      </c>
      <c r="F37" s="71"/>
    </row>
    <row r="38" spans="2:6">
      <c r="B38" s="104" t="s">
        <v>31</v>
      </c>
      <c r="C38" s="6" t="s">
        <v>32</v>
      </c>
      <c r="D38" s="203"/>
      <c r="E38" s="226"/>
      <c r="F38" s="71"/>
    </row>
    <row r="39" spans="2:6">
      <c r="B39" s="105" t="s">
        <v>33</v>
      </c>
      <c r="C39" s="12" t="s">
        <v>34</v>
      </c>
      <c r="D39" s="204">
        <v>275457.56</v>
      </c>
      <c r="E39" s="227">
        <v>353398.09000000171</v>
      </c>
      <c r="F39" s="71"/>
    </row>
    <row r="40" spans="2:6" ht="13.5" thickBot="1">
      <c r="B40" s="97" t="s">
        <v>35</v>
      </c>
      <c r="C40" s="98" t="s">
        <v>36</v>
      </c>
      <c r="D40" s="205">
        <v>-2287930.36</v>
      </c>
      <c r="E40" s="232">
        <v>825863.33</v>
      </c>
    </row>
    <row r="41" spans="2:6" ht="13.5" thickBot="1">
      <c r="B41" s="99" t="s">
        <v>37</v>
      </c>
      <c r="C41" s="100" t="s">
        <v>38</v>
      </c>
      <c r="D41" s="206">
        <v>11417763.559999999</v>
      </c>
      <c r="E41" s="148">
        <f>E26+E27+E40</f>
        <v>10176877.6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63"/>
      <c r="D43" s="363"/>
      <c r="E43" s="363"/>
    </row>
    <row r="44" spans="2:6" ht="17.25" customHeight="1" thickBot="1">
      <c r="B44" s="360" t="s">
        <v>121</v>
      </c>
      <c r="C44" s="364"/>
      <c r="D44" s="364"/>
      <c r="E44" s="364"/>
    </row>
    <row r="45" spans="2:6" ht="13.5" thickBot="1">
      <c r="B45" s="86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7">
        <v>115705.8988</v>
      </c>
      <c r="E47" s="73">
        <v>97799.806599999996</v>
      </c>
    </row>
    <row r="48" spans="2:6">
      <c r="B48" s="123" t="s">
        <v>6</v>
      </c>
      <c r="C48" s="22" t="s">
        <v>41</v>
      </c>
      <c r="D48" s="207">
        <v>97799.806599999996</v>
      </c>
      <c r="E48" s="272">
        <v>80988.870500000005</v>
      </c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02" t="s">
        <v>4</v>
      </c>
      <c r="C50" s="15" t="s">
        <v>40</v>
      </c>
      <c r="D50" s="207">
        <v>139.180092846614</v>
      </c>
      <c r="E50" s="73">
        <v>116.746279534903</v>
      </c>
    </row>
    <row r="51" spans="2:5">
      <c r="B51" s="102" t="s">
        <v>6</v>
      </c>
      <c r="C51" s="15" t="s">
        <v>114</v>
      </c>
      <c r="D51" s="207">
        <v>115.8222</v>
      </c>
      <c r="E51" s="234">
        <v>116.02849999999999</v>
      </c>
    </row>
    <row r="52" spans="2:5" ht="12.75" customHeight="1">
      <c r="B52" s="102" t="s">
        <v>8</v>
      </c>
      <c r="C52" s="15" t="s">
        <v>115</v>
      </c>
      <c r="D52" s="207">
        <v>145.9136</v>
      </c>
      <c r="E52" s="234">
        <v>129.62370000000001</v>
      </c>
    </row>
    <row r="53" spans="2:5" ht="13.5" thickBot="1">
      <c r="B53" s="103" t="s">
        <v>9</v>
      </c>
      <c r="C53" s="17" t="s">
        <v>41</v>
      </c>
      <c r="D53" s="209">
        <v>116.746279534903</v>
      </c>
      <c r="E53" s="233">
        <v>125.65770000000001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8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SUM(D59:D70)</f>
        <v>10196289.079999998</v>
      </c>
      <c r="E58" s="31">
        <f>D58/E21</f>
        <v>1.0019074101864012</v>
      </c>
    </row>
    <row r="59" spans="2:5" ht="25.5">
      <c r="B59" s="21" t="s">
        <v>4</v>
      </c>
      <c r="C59" s="22" t="s">
        <v>44</v>
      </c>
      <c r="D59" s="80">
        <v>0</v>
      </c>
      <c r="E59" s="81">
        <v>0</v>
      </c>
    </row>
    <row r="60" spans="2:5" ht="24" customHeight="1">
      <c r="B60" s="14" t="s">
        <v>6</v>
      </c>
      <c r="C60" s="15" t="s">
        <v>45</v>
      </c>
      <c r="D60" s="78">
        <v>0</v>
      </c>
      <c r="E60" s="79">
        <v>0</v>
      </c>
    </row>
    <row r="61" spans="2:5">
      <c r="B61" s="14" t="s">
        <v>8</v>
      </c>
      <c r="C61" s="15" t="s">
        <v>46</v>
      </c>
      <c r="D61" s="78">
        <v>0</v>
      </c>
      <c r="E61" s="79">
        <v>0</v>
      </c>
    </row>
    <row r="62" spans="2:5">
      <c r="B62" s="14" t="s">
        <v>9</v>
      </c>
      <c r="C62" s="15" t="s">
        <v>47</v>
      </c>
      <c r="D62" s="78">
        <v>0</v>
      </c>
      <c r="E62" s="79">
        <v>0</v>
      </c>
    </row>
    <row r="63" spans="2:5">
      <c r="B63" s="14" t="s">
        <v>29</v>
      </c>
      <c r="C63" s="15" t="s">
        <v>48</v>
      </c>
      <c r="D63" s="78">
        <v>0</v>
      </c>
      <c r="E63" s="79">
        <v>0</v>
      </c>
    </row>
    <row r="64" spans="2:5">
      <c r="B64" s="21" t="s">
        <v>31</v>
      </c>
      <c r="C64" s="22" t="s">
        <v>49</v>
      </c>
      <c r="D64" s="269">
        <f>9063200.59-4056.88</f>
        <v>9059143.709999999</v>
      </c>
      <c r="E64" s="81">
        <f>D64/E21</f>
        <v>0.89016927058256057</v>
      </c>
    </row>
    <row r="65" spans="2:5">
      <c r="B65" s="21" t="s">
        <v>33</v>
      </c>
      <c r="C65" s="22" t="s">
        <v>118</v>
      </c>
      <c r="D65" s="80">
        <v>0</v>
      </c>
      <c r="E65" s="81">
        <v>0</v>
      </c>
    </row>
    <row r="66" spans="2:5">
      <c r="B66" s="21" t="s">
        <v>50</v>
      </c>
      <c r="C66" s="22" t="s">
        <v>51</v>
      </c>
      <c r="D66" s="80">
        <v>0</v>
      </c>
      <c r="E66" s="81">
        <v>0</v>
      </c>
    </row>
    <row r="67" spans="2:5">
      <c r="B67" s="14" t="s">
        <v>52</v>
      </c>
      <c r="C67" s="15" t="s">
        <v>53</v>
      </c>
      <c r="D67" s="78">
        <v>0</v>
      </c>
      <c r="E67" s="79">
        <v>0</v>
      </c>
    </row>
    <row r="68" spans="2:5">
      <c r="B68" s="14" t="s">
        <v>54</v>
      </c>
      <c r="C68" s="15" t="s">
        <v>55</v>
      </c>
      <c r="D68" s="78">
        <v>0</v>
      </c>
      <c r="E68" s="79">
        <v>0</v>
      </c>
    </row>
    <row r="69" spans="2:5">
      <c r="B69" s="14" t="s">
        <v>56</v>
      </c>
      <c r="C69" s="15" t="s">
        <v>57</v>
      </c>
      <c r="D69" s="286">
        <v>1137145.3700000001</v>
      </c>
      <c r="E69" s="79">
        <f>D69/E21</f>
        <v>0.11173813960384078</v>
      </c>
    </row>
    <row r="70" spans="2:5">
      <c r="B70" s="112" t="s">
        <v>58</v>
      </c>
      <c r="C70" s="113" t="s">
        <v>59</v>
      </c>
      <c r="D70" s="114">
        <v>0</v>
      </c>
      <c r="E70" s="115">
        <v>0</v>
      </c>
    </row>
    <row r="71" spans="2:5">
      <c r="B71" s="120" t="s">
        <v>23</v>
      </c>
      <c r="C71" s="121" t="s">
        <v>61</v>
      </c>
      <c r="D71" s="122">
        <f>E13</f>
        <v>0</v>
      </c>
      <c r="E71" s="66">
        <f>D71/E21</f>
        <v>0</v>
      </c>
    </row>
    <row r="72" spans="2:5">
      <c r="B72" s="116" t="s">
        <v>60</v>
      </c>
      <c r="C72" s="117" t="s">
        <v>63</v>
      </c>
      <c r="D72" s="118">
        <f>E14</f>
        <v>17291.689999999999</v>
      </c>
      <c r="E72" s="119">
        <f>D72/E21</f>
        <v>1.6991154536436597E-3</v>
      </c>
    </row>
    <row r="73" spans="2:5">
      <c r="B73" s="23" t="s">
        <v>62</v>
      </c>
      <c r="C73" s="24" t="s">
        <v>65</v>
      </c>
      <c r="D73" s="25">
        <f>E17</f>
        <v>36703.17</v>
      </c>
      <c r="E73" s="26">
        <f>D73/E21</f>
        <v>3.6065256400450371E-3</v>
      </c>
    </row>
    <row r="74" spans="2:5">
      <c r="B74" s="120" t="s">
        <v>64</v>
      </c>
      <c r="C74" s="121" t="s">
        <v>66</v>
      </c>
      <c r="D74" s="122">
        <f>D58+D71+D72-D73</f>
        <v>10176877.599999998</v>
      </c>
      <c r="E74" s="66">
        <f>E58+E72-E73</f>
        <v>0.99999999999999978</v>
      </c>
    </row>
    <row r="75" spans="2:5">
      <c r="B75" s="14" t="s">
        <v>4</v>
      </c>
      <c r="C75" s="15" t="s">
        <v>67</v>
      </c>
      <c r="D75" s="78">
        <f>D74</f>
        <v>10176877.599999998</v>
      </c>
      <c r="E75" s="79">
        <f>E74</f>
        <v>0.99999999999999978</v>
      </c>
    </row>
    <row r="76" spans="2:5">
      <c r="B76" s="14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6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94488188976377963" right="0.74803149606299213" top="0.55118110236220474" bottom="0.47244094488188981" header="0.51181102362204722" footer="0.51181102362204722"/>
  <pageSetup paperSize="9" scale="70" orientation="portrait" r:id="rId1"/>
  <headerFooter alignWithMargins="0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1"/>
  <dimension ref="A1:F81"/>
  <sheetViews>
    <sheetView topLeftCell="A4" zoomScale="80" zoomScaleNormal="80" workbookViewId="0">
      <selection activeCell="G4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144"/>
      <c r="C4" s="144"/>
      <c r="D4" s="144"/>
      <c r="E4" s="144"/>
    </row>
    <row r="5" spans="2:5" ht="21" customHeight="1">
      <c r="B5" s="358" t="s">
        <v>1</v>
      </c>
      <c r="C5" s="358"/>
      <c r="D5" s="358"/>
      <c r="E5" s="358"/>
    </row>
    <row r="6" spans="2:5" ht="14.25">
      <c r="B6" s="359" t="s">
        <v>238</v>
      </c>
      <c r="C6" s="359"/>
      <c r="D6" s="359"/>
      <c r="E6" s="359"/>
    </row>
    <row r="7" spans="2:5" ht="14.25">
      <c r="B7" s="142"/>
      <c r="C7" s="142"/>
      <c r="D7" s="142"/>
      <c r="E7" s="142"/>
    </row>
    <row r="8" spans="2:5" ht="13.5">
      <c r="B8" s="361" t="s">
        <v>18</v>
      </c>
      <c r="C8" s="363"/>
      <c r="D8" s="363"/>
      <c r="E8" s="363"/>
    </row>
    <row r="9" spans="2:5" ht="16.5" thickBot="1">
      <c r="B9" s="360" t="s">
        <v>103</v>
      </c>
      <c r="C9" s="360"/>
      <c r="D9" s="360"/>
      <c r="E9" s="360"/>
    </row>
    <row r="10" spans="2:5" ht="13.5" thickBot="1">
      <c r="B10" s="143"/>
      <c r="C10" s="76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28" t="s">
        <v>109</v>
      </c>
      <c r="D11" s="243">
        <v>30091.18</v>
      </c>
      <c r="E11" s="244">
        <f>SUM(E12:E14)</f>
        <v>36227.25</v>
      </c>
    </row>
    <row r="12" spans="2:5">
      <c r="B12" s="174" t="s">
        <v>4</v>
      </c>
      <c r="C12" s="175" t="s">
        <v>5</v>
      </c>
      <c r="D12" s="283">
        <v>30091.18</v>
      </c>
      <c r="E12" s="304">
        <v>36227.25</v>
      </c>
    </row>
    <row r="13" spans="2:5">
      <c r="B13" s="174" t="s">
        <v>6</v>
      </c>
      <c r="C13" s="176" t="s">
        <v>7</v>
      </c>
      <c r="D13" s="276"/>
      <c r="E13" s="305"/>
    </row>
    <row r="14" spans="2:5">
      <c r="B14" s="174" t="s">
        <v>8</v>
      </c>
      <c r="C14" s="176" t="s">
        <v>10</v>
      </c>
      <c r="D14" s="276"/>
      <c r="E14" s="305"/>
    </row>
    <row r="15" spans="2:5">
      <c r="B15" s="174" t="s">
        <v>106</v>
      </c>
      <c r="C15" s="176" t="s">
        <v>11</v>
      </c>
      <c r="D15" s="276"/>
      <c r="E15" s="305"/>
    </row>
    <row r="16" spans="2:5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30091.18</v>
      </c>
      <c r="E21" s="148">
        <f>E11-E17</f>
        <v>36227.25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96476.89</v>
      </c>
      <c r="E26" s="231">
        <f>D21</f>
        <v>30091.18</v>
      </c>
    </row>
    <row r="27" spans="2:6">
      <c r="B27" s="9" t="s">
        <v>17</v>
      </c>
      <c r="C27" s="10" t="s">
        <v>111</v>
      </c>
      <c r="D27" s="202">
        <v>-62816.51</v>
      </c>
      <c r="E27" s="224">
        <v>-654.12</v>
      </c>
      <c r="F27" s="71"/>
    </row>
    <row r="28" spans="2:6">
      <c r="B28" s="9" t="s">
        <v>18</v>
      </c>
      <c r="C28" s="10" t="s">
        <v>19</v>
      </c>
      <c r="D28" s="202">
        <v>0</v>
      </c>
      <c r="E28" s="225">
        <v>1493.34</v>
      </c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/>
      <c r="E31" s="226">
        <v>1493.34</v>
      </c>
      <c r="F31" s="71"/>
    </row>
    <row r="32" spans="2:6">
      <c r="B32" s="92" t="s">
        <v>23</v>
      </c>
      <c r="C32" s="11" t="s">
        <v>24</v>
      </c>
      <c r="D32" s="202">
        <v>62816.51</v>
      </c>
      <c r="E32" s="225">
        <v>2147.46</v>
      </c>
      <c r="F32" s="71"/>
    </row>
    <row r="33" spans="2:6">
      <c r="B33" s="182" t="s">
        <v>4</v>
      </c>
      <c r="C33" s="175" t="s">
        <v>25</v>
      </c>
      <c r="D33" s="203">
        <v>61453.17</v>
      </c>
      <c r="E33" s="226"/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21.55</v>
      </c>
      <c r="E35" s="226">
        <v>28.52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1341.79</v>
      </c>
      <c r="E37" s="226">
        <v>684.29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/>
      <c r="E39" s="227">
        <v>1434.65</v>
      </c>
      <c r="F39" s="71"/>
    </row>
    <row r="40" spans="2:6" ht="13.5" thickBot="1">
      <c r="B40" s="97" t="s">
        <v>35</v>
      </c>
      <c r="C40" s="98" t="s">
        <v>36</v>
      </c>
      <c r="D40" s="205">
        <v>-3569.2</v>
      </c>
      <c r="E40" s="232">
        <v>6790.19</v>
      </c>
    </row>
    <row r="41" spans="2:6" ht="13.5" thickBot="1">
      <c r="B41" s="99" t="s">
        <v>37</v>
      </c>
      <c r="C41" s="100" t="s">
        <v>38</v>
      </c>
      <c r="D41" s="206">
        <v>30091.179999999997</v>
      </c>
      <c r="E41" s="148">
        <f>E26+E27+E40</f>
        <v>36227.25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987.98659999999995</v>
      </c>
      <c r="E47" s="73">
        <v>357.20769999999999</v>
      </c>
    </row>
    <row r="48" spans="2:6">
      <c r="B48" s="187" t="s">
        <v>6</v>
      </c>
      <c r="C48" s="188" t="s">
        <v>41</v>
      </c>
      <c r="D48" s="207">
        <v>357.20769999999999</v>
      </c>
      <c r="E48" s="149">
        <v>349.65010000000001</v>
      </c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85" t="s">
        <v>4</v>
      </c>
      <c r="C50" s="186" t="s">
        <v>40</v>
      </c>
      <c r="D50" s="207">
        <v>97.65</v>
      </c>
      <c r="E50" s="75">
        <v>84.24</v>
      </c>
    </row>
    <row r="51" spans="2:5">
      <c r="B51" s="185" t="s">
        <v>6</v>
      </c>
      <c r="C51" s="186" t="s">
        <v>114</v>
      </c>
      <c r="D51" s="207">
        <v>83.36</v>
      </c>
      <c r="E51" s="75">
        <v>83.93</v>
      </c>
    </row>
    <row r="52" spans="2:5">
      <c r="B52" s="185" t="s">
        <v>8</v>
      </c>
      <c r="C52" s="186" t="s">
        <v>115</v>
      </c>
      <c r="D52" s="207">
        <v>105.09</v>
      </c>
      <c r="E52" s="75">
        <v>103.61</v>
      </c>
    </row>
    <row r="53" spans="2:5" ht="13.5" customHeight="1" thickBot="1">
      <c r="B53" s="189" t="s">
        <v>9</v>
      </c>
      <c r="C53" s="190" t="s">
        <v>41</v>
      </c>
      <c r="D53" s="209">
        <v>84.24</v>
      </c>
      <c r="E53" s="233">
        <v>103.61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5.7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36227.25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36227.25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36227.25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36227.25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47"/>
      <c r="C4" s="147"/>
      <c r="D4" s="147"/>
      <c r="E4" s="147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239</v>
      </c>
      <c r="C6" s="359"/>
      <c r="D6" s="359"/>
      <c r="E6" s="359"/>
    </row>
    <row r="7" spans="2:7" ht="14.25">
      <c r="B7" s="220"/>
      <c r="C7" s="220"/>
      <c r="D7" s="220"/>
      <c r="E7" s="220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221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9049.58</v>
      </c>
      <c r="E11" s="244">
        <f>SUM(E12:E14)</f>
        <v>10163.299999999999</v>
      </c>
    </row>
    <row r="12" spans="2:7">
      <c r="B12" s="174" t="s">
        <v>4</v>
      </c>
      <c r="C12" s="175" t="s">
        <v>5</v>
      </c>
      <c r="D12" s="283">
        <v>9049.58</v>
      </c>
      <c r="E12" s="304">
        <v>10163.299999999999</v>
      </c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9049.58</v>
      </c>
      <c r="E21" s="148">
        <f>E11-E17</f>
        <v>10163.299999999999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21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0</v>
      </c>
      <c r="E26" s="231">
        <f>D21</f>
        <v>9049.58</v>
      </c>
    </row>
    <row r="27" spans="2:6">
      <c r="B27" s="9" t="s">
        <v>17</v>
      </c>
      <c r="C27" s="10" t="s">
        <v>111</v>
      </c>
      <c r="D27" s="202">
        <v>12520.8</v>
      </c>
      <c r="E27" s="224">
        <v>-224.13</v>
      </c>
      <c r="F27" s="71"/>
    </row>
    <row r="28" spans="2:6">
      <c r="B28" s="9" t="s">
        <v>18</v>
      </c>
      <c r="C28" s="10" t="s">
        <v>19</v>
      </c>
      <c r="D28" s="202">
        <v>18806.95</v>
      </c>
      <c r="E28" s="225">
        <v>0</v>
      </c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>
        <v>18806.95</v>
      </c>
      <c r="E31" s="226"/>
      <c r="F31" s="71"/>
    </row>
    <row r="32" spans="2:6">
      <c r="B32" s="92" t="s">
        <v>23</v>
      </c>
      <c r="C32" s="11" t="s">
        <v>24</v>
      </c>
      <c r="D32" s="202">
        <v>6286.1500000000005</v>
      </c>
      <c r="E32" s="225">
        <v>224.13</v>
      </c>
      <c r="F32" s="71"/>
    </row>
    <row r="33" spans="2:6">
      <c r="B33" s="182" t="s">
        <v>4</v>
      </c>
      <c r="C33" s="175" t="s">
        <v>25</v>
      </c>
      <c r="D33" s="203">
        <v>6001.52</v>
      </c>
      <c r="E33" s="226"/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64.790000000000006</v>
      </c>
      <c r="E35" s="226">
        <v>41.17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219.84</v>
      </c>
      <c r="E37" s="226">
        <v>182.96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/>
      <c r="E39" s="227"/>
      <c r="F39" s="71"/>
    </row>
    <row r="40" spans="2:6" ht="13.5" thickBot="1">
      <c r="B40" s="97" t="s">
        <v>35</v>
      </c>
      <c r="C40" s="98" t="s">
        <v>36</v>
      </c>
      <c r="D40" s="205">
        <v>-3471.22</v>
      </c>
      <c r="E40" s="232">
        <v>1337.85</v>
      </c>
    </row>
    <row r="41" spans="2:6" ht="13.5" thickBot="1">
      <c r="B41" s="99" t="s">
        <v>37</v>
      </c>
      <c r="C41" s="100" t="s">
        <v>38</v>
      </c>
      <c r="D41" s="206">
        <v>9049.58</v>
      </c>
      <c r="E41" s="148">
        <f>E26+E27+E40</f>
        <v>10163.300000000001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21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0</v>
      </c>
      <c r="E47" s="73">
        <v>52.231200000000001</v>
      </c>
    </row>
    <row r="48" spans="2:6">
      <c r="B48" s="187" t="s">
        <v>6</v>
      </c>
      <c r="C48" s="188" t="s">
        <v>41</v>
      </c>
      <c r="D48" s="207">
        <v>52.231200000000001</v>
      </c>
      <c r="E48" s="149">
        <v>51.1541</v>
      </c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85" t="s">
        <v>4</v>
      </c>
      <c r="C50" s="186" t="s">
        <v>40</v>
      </c>
      <c r="D50" s="207">
        <v>0</v>
      </c>
      <c r="E50" s="75">
        <v>173.26</v>
      </c>
    </row>
    <row r="51" spans="2:5">
      <c r="B51" s="185" t="s">
        <v>6</v>
      </c>
      <c r="C51" s="186" t="s">
        <v>114</v>
      </c>
      <c r="D51" s="207">
        <v>166.12</v>
      </c>
      <c r="E51" s="75">
        <v>167.97</v>
      </c>
    </row>
    <row r="52" spans="2:5">
      <c r="B52" s="185" t="s">
        <v>8</v>
      </c>
      <c r="C52" s="186" t="s">
        <v>115</v>
      </c>
      <c r="D52" s="207">
        <v>223.2</v>
      </c>
      <c r="E52" s="75">
        <v>231.13</v>
      </c>
    </row>
    <row r="53" spans="2:5" ht="13.5" customHeight="1" thickBot="1">
      <c r="B53" s="189" t="s">
        <v>9</v>
      </c>
      <c r="C53" s="190" t="s">
        <v>41</v>
      </c>
      <c r="D53" s="209">
        <v>173.26</v>
      </c>
      <c r="E53" s="233">
        <v>198.68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5.7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10163.299999999999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10163.299999999999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10163.299999999999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10163.299999999999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r:id="rId1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2"/>
  <dimension ref="A1:F81"/>
  <sheetViews>
    <sheetView zoomScale="80" zoomScaleNormal="80" workbookViewId="0">
      <selection activeCell="K19" sqref="K19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144"/>
      <c r="C4" s="144"/>
      <c r="D4" s="144"/>
      <c r="E4" s="144"/>
    </row>
    <row r="5" spans="2:5" ht="21" customHeight="1">
      <c r="B5" s="358" t="s">
        <v>1</v>
      </c>
      <c r="C5" s="358"/>
      <c r="D5" s="358"/>
      <c r="E5" s="358"/>
    </row>
    <row r="6" spans="2:5" ht="14.25">
      <c r="B6" s="359" t="s">
        <v>240</v>
      </c>
      <c r="C6" s="359"/>
      <c r="D6" s="359"/>
      <c r="E6" s="359"/>
    </row>
    <row r="7" spans="2:5" ht="14.25">
      <c r="B7" s="142"/>
      <c r="C7" s="142"/>
      <c r="D7" s="142"/>
      <c r="E7" s="142"/>
    </row>
    <row r="8" spans="2:5" ht="13.5">
      <c r="B8" s="361" t="s">
        <v>18</v>
      </c>
      <c r="C8" s="363"/>
      <c r="D8" s="363"/>
      <c r="E8" s="363"/>
    </row>
    <row r="9" spans="2:5" ht="16.5" thickBot="1">
      <c r="B9" s="360" t="s">
        <v>103</v>
      </c>
      <c r="C9" s="360"/>
      <c r="D9" s="360"/>
      <c r="E9" s="360"/>
    </row>
    <row r="10" spans="2:5" ht="13.5" thickBot="1">
      <c r="B10" s="143"/>
      <c r="C10" s="76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28" t="s">
        <v>109</v>
      </c>
      <c r="D11" s="243">
        <v>257424.79</v>
      </c>
      <c r="E11" s="244">
        <f>SUM(E12:E14)</f>
        <v>265450.02</v>
      </c>
    </row>
    <row r="12" spans="2:5">
      <c r="B12" s="174" t="s">
        <v>4</v>
      </c>
      <c r="C12" s="175" t="s">
        <v>5</v>
      </c>
      <c r="D12" s="283">
        <v>257424.79</v>
      </c>
      <c r="E12" s="304">
        <v>265450.02</v>
      </c>
    </row>
    <row r="13" spans="2:5">
      <c r="B13" s="174" t="s">
        <v>6</v>
      </c>
      <c r="C13" s="176" t="s">
        <v>7</v>
      </c>
      <c r="D13" s="276"/>
      <c r="E13" s="305"/>
    </row>
    <row r="14" spans="2:5">
      <c r="B14" s="174" t="s">
        <v>8</v>
      </c>
      <c r="C14" s="176" t="s">
        <v>10</v>
      </c>
      <c r="D14" s="276"/>
      <c r="E14" s="305"/>
    </row>
    <row r="15" spans="2:5">
      <c r="B15" s="174" t="s">
        <v>106</v>
      </c>
      <c r="C15" s="176" t="s">
        <v>11</v>
      </c>
      <c r="D15" s="276"/>
      <c r="E15" s="305"/>
    </row>
    <row r="16" spans="2:5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257424.79</v>
      </c>
      <c r="E21" s="148">
        <f>E11-E17</f>
        <v>265450.02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68499.899999999994</v>
      </c>
      <c r="E26" s="231">
        <f>D21</f>
        <v>257424.79</v>
      </c>
    </row>
    <row r="27" spans="2:6">
      <c r="B27" s="9" t="s">
        <v>17</v>
      </c>
      <c r="C27" s="10" t="s">
        <v>111</v>
      </c>
      <c r="D27" s="202">
        <v>238139.97999999998</v>
      </c>
      <c r="E27" s="224">
        <v>-67955.59</v>
      </c>
      <c r="F27" s="71"/>
    </row>
    <row r="28" spans="2:6">
      <c r="B28" s="9" t="s">
        <v>18</v>
      </c>
      <c r="C28" s="10" t="s">
        <v>19</v>
      </c>
      <c r="D28" s="202">
        <v>316245.17</v>
      </c>
      <c r="E28" s="225">
        <v>39936.160000000003</v>
      </c>
      <c r="F28" s="71"/>
    </row>
    <row r="29" spans="2:6">
      <c r="B29" s="182" t="s">
        <v>4</v>
      </c>
      <c r="C29" s="175" t="s">
        <v>20</v>
      </c>
      <c r="D29" s="203">
        <v>10000</v>
      </c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>
        <v>306245.17</v>
      </c>
      <c r="E31" s="226">
        <v>39936.160000000003</v>
      </c>
      <c r="F31" s="71"/>
    </row>
    <row r="32" spans="2:6">
      <c r="B32" s="92" t="s">
        <v>23</v>
      </c>
      <c r="C32" s="11" t="s">
        <v>24</v>
      </c>
      <c r="D32" s="202">
        <v>78105.19</v>
      </c>
      <c r="E32" s="225">
        <v>107891.75</v>
      </c>
      <c r="F32" s="71"/>
    </row>
    <row r="33" spans="2:6">
      <c r="B33" s="182" t="s">
        <v>4</v>
      </c>
      <c r="C33" s="175" t="s">
        <v>25</v>
      </c>
      <c r="D33" s="203">
        <v>25554.89</v>
      </c>
      <c r="E33" s="226">
        <v>60064.54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477.73</v>
      </c>
      <c r="E35" s="226">
        <v>759.65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3502.28</v>
      </c>
      <c r="E37" s="226">
        <v>5080.3599999999997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>
        <v>48570.29</v>
      </c>
      <c r="E39" s="227">
        <v>41987.199999999997</v>
      </c>
      <c r="F39" s="71"/>
    </row>
    <row r="40" spans="2:6" ht="13.5" thickBot="1">
      <c r="B40" s="97" t="s">
        <v>35</v>
      </c>
      <c r="C40" s="98" t="s">
        <v>36</v>
      </c>
      <c r="D40" s="205">
        <v>-49215.09</v>
      </c>
      <c r="E40" s="232">
        <v>75980.820000000007</v>
      </c>
    </row>
    <row r="41" spans="2:6" ht="13.5" thickBot="1">
      <c r="B41" s="99" t="s">
        <v>37</v>
      </c>
      <c r="C41" s="100" t="s">
        <v>38</v>
      </c>
      <c r="D41" s="206">
        <v>257424.79</v>
      </c>
      <c r="E41" s="148">
        <f>E26+E27+E40</f>
        <v>265450.02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672.3587</v>
      </c>
      <c r="E47" s="73">
        <v>2679.5544</v>
      </c>
    </row>
    <row r="48" spans="2:6">
      <c r="B48" s="187" t="s">
        <v>6</v>
      </c>
      <c r="C48" s="188" t="s">
        <v>41</v>
      </c>
      <c r="D48" s="207">
        <v>2679.5544</v>
      </c>
      <c r="E48" s="149">
        <v>2063.3503000000001</v>
      </c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85" t="s">
        <v>4</v>
      </c>
      <c r="C50" s="186" t="s">
        <v>40</v>
      </c>
      <c r="D50" s="207">
        <v>101.88</v>
      </c>
      <c r="E50" s="75">
        <v>96.07</v>
      </c>
    </row>
    <row r="51" spans="2:5">
      <c r="B51" s="185" t="s">
        <v>6</v>
      </c>
      <c r="C51" s="186" t="s">
        <v>114</v>
      </c>
      <c r="D51" s="207">
        <v>91.36</v>
      </c>
      <c r="E51" s="75">
        <v>93.320000000000007</v>
      </c>
    </row>
    <row r="52" spans="2:5">
      <c r="B52" s="185" t="s">
        <v>8</v>
      </c>
      <c r="C52" s="186" t="s">
        <v>115</v>
      </c>
      <c r="D52" s="207">
        <v>127.95</v>
      </c>
      <c r="E52" s="75">
        <v>149.5</v>
      </c>
    </row>
    <row r="53" spans="2:5" ht="12.75" customHeight="1" thickBot="1">
      <c r="B53" s="189" t="s">
        <v>9</v>
      </c>
      <c r="C53" s="190" t="s">
        <v>41</v>
      </c>
      <c r="D53" s="209">
        <v>96.07</v>
      </c>
      <c r="E53" s="233">
        <v>128.65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7.2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265450.02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265450.02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265450.02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265450.02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4"/>
  <dimension ref="A1:G81"/>
  <sheetViews>
    <sheetView zoomScale="80" zoomScaleNormal="80" workbookViewId="0">
      <selection activeCell="G63" sqref="G63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47"/>
      <c r="C4" s="147"/>
      <c r="D4" s="147"/>
      <c r="E4" s="147"/>
    </row>
    <row r="5" spans="2:7" ht="14.25">
      <c r="B5" s="358" t="s">
        <v>1</v>
      </c>
      <c r="C5" s="358"/>
      <c r="D5" s="358"/>
      <c r="E5" s="358"/>
    </row>
    <row r="6" spans="2:7" ht="14.25">
      <c r="B6" s="359" t="s">
        <v>241</v>
      </c>
      <c r="C6" s="359"/>
      <c r="D6" s="359"/>
      <c r="E6" s="359"/>
    </row>
    <row r="7" spans="2:7" ht="14.25">
      <c r="B7" s="165"/>
      <c r="C7" s="165"/>
      <c r="D7" s="165"/>
      <c r="E7" s="165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66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18073.759999999998</v>
      </c>
      <c r="E11" s="244">
        <f>SUM(E12:E14)</f>
        <v>0</v>
      </c>
    </row>
    <row r="12" spans="2:7">
      <c r="B12" s="174" t="s">
        <v>4</v>
      </c>
      <c r="C12" s="175" t="s">
        <v>5</v>
      </c>
      <c r="D12" s="283">
        <v>18073.759999999998</v>
      </c>
      <c r="E12" s="304"/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18073.759999999998</v>
      </c>
      <c r="E21" s="148">
        <f>E11-E17</f>
        <v>0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110929.34</v>
      </c>
      <c r="E26" s="231">
        <f>D21</f>
        <v>18073.759999999998</v>
      </c>
    </row>
    <row r="27" spans="2:6">
      <c r="B27" s="9" t="s">
        <v>17</v>
      </c>
      <c r="C27" s="10" t="s">
        <v>111</v>
      </c>
      <c r="D27" s="202">
        <v>-81297.08</v>
      </c>
      <c r="E27" s="224">
        <v>-15896.72</v>
      </c>
      <c r="F27" s="71"/>
    </row>
    <row r="28" spans="2:6">
      <c r="B28" s="9" t="s">
        <v>18</v>
      </c>
      <c r="C28" s="10" t="s">
        <v>19</v>
      </c>
      <c r="D28" s="202">
        <v>1074.8900000000001</v>
      </c>
      <c r="E28" s="225">
        <v>0</v>
      </c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>
        <v>1074.8900000000001</v>
      </c>
      <c r="E31" s="226"/>
      <c r="F31" s="71"/>
    </row>
    <row r="32" spans="2:6">
      <c r="B32" s="92" t="s">
        <v>23</v>
      </c>
      <c r="C32" s="11" t="s">
        <v>24</v>
      </c>
      <c r="D32" s="202">
        <v>82371.97</v>
      </c>
      <c r="E32" s="225">
        <v>15896.72</v>
      </c>
      <c r="F32" s="71"/>
    </row>
    <row r="33" spans="2:6">
      <c r="B33" s="182" t="s">
        <v>4</v>
      </c>
      <c r="C33" s="175" t="s">
        <v>25</v>
      </c>
      <c r="D33" s="203">
        <v>81078.25</v>
      </c>
      <c r="E33" s="226"/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39.03</v>
      </c>
      <c r="E35" s="226">
        <v>16.87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1254.69</v>
      </c>
      <c r="E37" s="226">
        <v>356.68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/>
      <c r="E39" s="227">
        <v>15523.17</v>
      </c>
      <c r="F39" s="71"/>
    </row>
    <row r="40" spans="2:6" ht="15.75" customHeight="1" thickBot="1">
      <c r="B40" s="97" t="s">
        <v>35</v>
      </c>
      <c r="C40" s="98" t="s">
        <v>36</v>
      </c>
      <c r="D40" s="205">
        <v>-11558.5</v>
      </c>
      <c r="E40" s="232">
        <v>-2177.04</v>
      </c>
    </row>
    <row r="41" spans="2:6" ht="13.5" thickBot="1">
      <c r="B41" s="99" t="s">
        <v>37</v>
      </c>
      <c r="C41" s="100" t="s">
        <v>38</v>
      </c>
      <c r="D41" s="206">
        <v>18073.759999999995</v>
      </c>
      <c r="E41" s="148">
        <f>E26+E27+E40</f>
        <v>0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315.49869999999999</v>
      </c>
      <c r="E47" s="73">
        <v>61.5319</v>
      </c>
    </row>
    <row r="48" spans="2:6">
      <c r="B48" s="187" t="s">
        <v>6</v>
      </c>
      <c r="C48" s="188" t="s">
        <v>41</v>
      </c>
      <c r="D48" s="207">
        <v>61.5319</v>
      </c>
      <c r="E48" s="149"/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85" t="s">
        <v>4</v>
      </c>
      <c r="C50" s="186" t="s">
        <v>40</v>
      </c>
      <c r="D50" s="207">
        <v>351.6</v>
      </c>
      <c r="E50" s="75">
        <v>293.73</v>
      </c>
    </row>
    <row r="51" spans="2:5">
      <c r="B51" s="185" t="s">
        <v>6</v>
      </c>
      <c r="C51" s="186" t="s">
        <v>114</v>
      </c>
      <c r="D51" s="207">
        <v>283.16000000000003</v>
      </c>
      <c r="E51" s="75">
        <v>250.79</v>
      </c>
    </row>
    <row r="52" spans="2:5">
      <c r="B52" s="185" t="s">
        <v>8</v>
      </c>
      <c r="C52" s="186" t="s">
        <v>115</v>
      </c>
      <c r="D52" s="207">
        <v>369.84</v>
      </c>
      <c r="E52" s="75">
        <v>325.32</v>
      </c>
    </row>
    <row r="53" spans="2:5" ht="13.5" thickBot="1">
      <c r="B53" s="189" t="s">
        <v>9</v>
      </c>
      <c r="C53" s="190" t="s">
        <v>41</v>
      </c>
      <c r="D53" s="209">
        <v>293.73</v>
      </c>
      <c r="E53" s="233"/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4.25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0</v>
      </c>
      <c r="E58" s="31">
        <v>0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0</v>
      </c>
      <c r="E64" s="81">
        <v>0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0</v>
      </c>
      <c r="E74" s="66">
        <v>0</v>
      </c>
    </row>
    <row r="75" spans="2:5">
      <c r="B75" s="102" t="s">
        <v>4</v>
      </c>
      <c r="C75" s="15" t="s">
        <v>67</v>
      </c>
      <c r="D75" s="78">
        <f>D74</f>
        <v>0</v>
      </c>
      <c r="E75" s="79">
        <v>0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5"/>
  <dimension ref="A1:H81"/>
  <sheetViews>
    <sheetView zoomScale="80" zoomScaleNormal="80" workbookViewId="0">
      <selection activeCell="G21" sqref="G2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8" max="8" width="12.42578125" bestFit="1" customWidth="1"/>
  </cols>
  <sheetData>
    <row r="1" spans="2:8">
      <c r="B1" s="1"/>
      <c r="C1" s="1"/>
      <c r="D1" s="2"/>
      <c r="E1" s="2"/>
    </row>
    <row r="2" spans="2:8" ht="15.75">
      <c r="B2" s="357" t="s">
        <v>0</v>
      </c>
      <c r="C2" s="357"/>
      <c r="D2" s="357"/>
      <c r="E2" s="357"/>
      <c r="H2" s="71"/>
    </row>
    <row r="3" spans="2:8" ht="15.75">
      <c r="B3" s="357" t="s">
        <v>267</v>
      </c>
      <c r="C3" s="357"/>
      <c r="D3" s="357"/>
      <c r="E3" s="357"/>
    </row>
    <row r="4" spans="2:8" ht="15">
      <c r="B4" s="147"/>
      <c r="C4" s="147"/>
      <c r="D4" s="147"/>
      <c r="E4" s="147"/>
    </row>
    <row r="5" spans="2:8" ht="14.25">
      <c r="B5" s="358" t="s">
        <v>1</v>
      </c>
      <c r="C5" s="358"/>
      <c r="D5" s="358"/>
      <c r="E5" s="358"/>
    </row>
    <row r="6" spans="2:8" ht="14.25">
      <c r="B6" s="359" t="s">
        <v>242</v>
      </c>
      <c r="C6" s="359"/>
      <c r="D6" s="359"/>
      <c r="E6" s="359"/>
    </row>
    <row r="7" spans="2:8" ht="14.25">
      <c r="B7" s="165"/>
      <c r="C7" s="165"/>
      <c r="D7" s="165"/>
      <c r="E7" s="165"/>
    </row>
    <row r="8" spans="2:8" ht="13.5">
      <c r="B8" s="361" t="s">
        <v>18</v>
      </c>
      <c r="C8" s="363"/>
      <c r="D8" s="363"/>
      <c r="E8" s="363"/>
    </row>
    <row r="9" spans="2:8" ht="16.5" thickBot="1">
      <c r="B9" s="360" t="s">
        <v>103</v>
      </c>
      <c r="C9" s="360"/>
      <c r="D9" s="360"/>
      <c r="E9" s="360"/>
    </row>
    <row r="10" spans="2:8" ht="13.5" thickBot="1">
      <c r="B10" s="166"/>
      <c r="C10" s="76" t="s">
        <v>2</v>
      </c>
      <c r="D10" s="70" t="s">
        <v>125</v>
      </c>
      <c r="E10" s="319" t="s">
        <v>268</v>
      </c>
    </row>
    <row r="11" spans="2:8">
      <c r="B11" s="90" t="s">
        <v>3</v>
      </c>
      <c r="C11" s="128" t="s">
        <v>109</v>
      </c>
      <c r="D11" s="243">
        <v>9361.31</v>
      </c>
      <c r="E11" s="244">
        <f>SUM(E12:E14)</f>
        <v>11883.7</v>
      </c>
    </row>
    <row r="12" spans="2:8">
      <c r="B12" s="174" t="s">
        <v>4</v>
      </c>
      <c r="C12" s="175" t="s">
        <v>5</v>
      </c>
      <c r="D12" s="283">
        <v>9361.31</v>
      </c>
      <c r="E12" s="304">
        <v>11883.7</v>
      </c>
    </row>
    <row r="13" spans="2:8">
      <c r="B13" s="174" t="s">
        <v>6</v>
      </c>
      <c r="C13" s="176" t="s">
        <v>7</v>
      </c>
      <c r="D13" s="276"/>
      <c r="E13" s="305"/>
    </row>
    <row r="14" spans="2:8">
      <c r="B14" s="174" t="s">
        <v>8</v>
      </c>
      <c r="C14" s="176" t="s">
        <v>10</v>
      </c>
      <c r="D14" s="276"/>
      <c r="E14" s="305"/>
    </row>
    <row r="15" spans="2:8">
      <c r="B15" s="174" t="s">
        <v>106</v>
      </c>
      <c r="C15" s="176" t="s">
        <v>11</v>
      </c>
      <c r="D15" s="276"/>
      <c r="E15" s="305"/>
    </row>
    <row r="16" spans="2:8">
      <c r="B16" s="177" t="s">
        <v>107</v>
      </c>
      <c r="C16" s="178" t="s">
        <v>12</v>
      </c>
      <c r="D16" s="278"/>
      <c r="E16" s="306"/>
    </row>
    <row r="17" spans="2:7">
      <c r="B17" s="9" t="s">
        <v>13</v>
      </c>
      <c r="C17" s="11" t="s">
        <v>65</v>
      </c>
      <c r="D17" s="279"/>
      <c r="E17" s="307"/>
    </row>
    <row r="18" spans="2:7">
      <c r="B18" s="174" t="s">
        <v>4</v>
      </c>
      <c r="C18" s="175" t="s">
        <v>11</v>
      </c>
      <c r="D18" s="278"/>
      <c r="E18" s="306"/>
    </row>
    <row r="19" spans="2:7" ht="15" customHeight="1">
      <c r="B19" s="174" t="s">
        <v>6</v>
      </c>
      <c r="C19" s="176" t="s">
        <v>108</v>
      </c>
      <c r="D19" s="276"/>
      <c r="E19" s="305"/>
    </row>
    <row r="20" spans="2:7" ht="13.5" thickBot="1">
      <c r="B20" s="179" t="s">
        <v>8</v>
      </c>
      <c r="C20" s="180" t="s">
        <v>14</v>
      </c>
      <c r="D20" s="245"/>
      <c r="E20" s="246"/>
    </row>
    <row r="21" spans="2:7" ht="13.5" thickBot="1">
      <c r="B21" s="367" t="s">
        <v>110</v>
      </c>
      <c r="C21" s="368"/>
      <c r="D21" s="247">
        <v>9361.31</v>
      </c>
      <c r="E21" s="148">
        <f>E11-E17</f>
        <v>11883.7</v>
      </c>
      <c r="F21" s="77"/>
      <c r="G21" s="67"/>
    </row>
    <row r="22" spans="2:7">
      <c r="B22" s="3"/>
      <c r="C22" s="7"/>
      <c r="D22" s="8"/>
      <c r="E22" s="8"/>
    </row>
    <row r="23" spans="2:7" ht="13.5">
      <c r="B23" s="361" t="s">
        <v>104</v>
      </c>
      <c r="C23" s="371"/>
      <c r="D23" s="371"/>
      <c r="E23" s="371"/>
    </row>
    <row r="24" spans="2:7" ht="15.75" customHeight="1" thickBot="1">
      <c r="B24" s="360" t="s">
        <v>105</v>
      </c>
      <c r="C24" s="372"/>
      <c r="D24" s="372"/>
      <c r="E24" s="372"/>
    </row>
    <row r="25" spans="2:7" ht="13.5" thickBot="1">
      <c r="B25" s="214"/>
      <c r="C25" s="181" t="s">
        <v>2</v>
      </c>
      <c r="D25" s="70" t="s">
        <v>125</v>
      </c>
      <c r="E25" s="319" t="s">
        <v>268</v>
      </c>
    </row>
    <row r="26" spans="2:7">
      <c r="B26" s="95" t="s">
        <v>15</v>
      </c>
      <c r="C26" s="96" t="s">
        <v>16</v>
      </c>
      <c r="D26" s="201">
        <v>0</v>
      </c>
      <c r="E26" s="231">
        <f>D21</f>
        <v>9361.31</v>
      </c>
    </row>
    <row r="27" spans="2:7">
      <c r="B27" s="9" t="s">
        <v>17</v>
      </c>
      <c r="C27" s="10" t="s">
        <v>111</v>
      </c>
      <c r="D27" s="202">
        <v>11177.859999999999</v>
      </c>
      <c r="E27" s="224">
        <v>-212.23999999999998</v>
      </c>
      <c r="F27" s="71"/>
    </row>
    <row r="28" spans="2:7">
      <c r="B28" s="9" t="s">
        <v>18</v>
      </c>
      <c r="C28" s="10" t="s">
        <v>19</v>
      </c>
      <c r="D28" s="202">
        <v>11292.39</v>
      </c>
      <c r="E28" s="225">
        <v>0</v>
      </c>
      <c r="F28" s="71"/>
    </row>
    <row r="29" spans="2:7">
      <c r="B29" s="182" t="s">
        <v>4</v>
      </c>
      <c r="C29" s="175" t="s">
        <v>20</v>
      </c>
      <c r="D29" s="203"/>
      <c r="E29" s="226"/>
      <c r="F29" s="71"/>
    </row>
    <row r="30" spans="2:7">
      <c r="B30" s="182" t="s">
        <v>6</v>
      </c>
      <c r="C30" s="175" t="s">
        <v>21</v>
      </c>
      <c r="D30" s="203"/>
      <c r="E30" s="226"/>
      <c r="F30" s="71"/>
    </row>
    <row r="31" spans="2:7">
      <c r="B31" s="182" t="s">
        <v>8</v>
      </c>
      <c r="C31" s="175" t="s">
        <v>22</v>
      </c>
      <c r="D31" s="203">
        <v>11292.39</v>
      </c>
      <c r="E31" s="226">
        <v>0</v>
      </c>
      <c r="F31" s="71"/>
    </row>
    <row r="32" spans="2:7">
      <c r="B32" s="92" t="s">
        <v>23</v>
      </c>
      <c r="C32" s="11" t="s">
        <v>24</v>
      </c>
      <c r="D32" s="202">
        <v>114.53</v>
      </c>
      <c r="E32" s="225">
        <v>212.23999999999998</v>
      </c>
      <c r="F32" s="71"/>
    </row>
    <row r="33" spans="2:6">
      <c r="B33" s="182" t="s">
        <v>4</v>
      </c>
      <c r="C33" s="175" t="s">
        <v>25</v>
      </c>
      <c r="D33" s="203"/>
      <c r="E33" s="226"/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20.309999999999999</v>
      </c>
      <c r="E35" s="226">
        <v>39.82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94.22</v>
      </c>
      <c r="E37" s="226">
        <v>172.42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/>
      <c r="E39" s="227"/>
      <c r="F39" s="71"/>
    </row>
    <row r="40" spans="2:6" ht="13.5" thickBot="1">
      <c r="B40" s="97" t="s">
        <v>35</v>
      </c>
      <c r="C40" s="98" t="s">
        <v>36</v>
      </c>
      <c r="D40" s="205">
        <v>-1816.55</v>
      </c>
      <c r="E40" s="232">
        <v>2734.63</v>
      </c>
    </row>
    <row r="41" spans="2:6" ht="13.5" thickBot="1">
      <c r="B41" s="99" t="s">
        <v>37</v>
      </c>
      <c r="C41" s="100" t="s">
        <v>38</v>
      </c>
      <c r="D41" s="206">
        <v>9361.31</v>
      </c>
      <c r="E41" s="148">
        <f>E26+E27+E40</f>
        <v>11883.7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0</v>
      </c>
      <c r="E47" s="73">
        <v>59.293799999999997</v>
      </c>
    </row>
    <row r="48" spans="2:6">
      <c r="B48" s="187" t="s">
        <v>6</v>
      </c>
      <c r="C48" s="188" t="s">
        <v>41</v>
      </c>
      <c r="D48" s="207">
        <v>59.293799999999997</v>
      </c>
      <c r="E48" s="149">
        <v>58.167900000000003</v>
      </c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85" t="s">
        <v>4</v>
      </c>
      <c r="C50" s="186" t="s">
        <v>40</v>
      </c>
      <c r="D50" s="207">
        <v>0</v>
      </c>
      <c r="E50" s="75">
        <v>157.88</v>
      </c>
    </row>
    <row r="51" spans="2:5">
      <c r="B51" s="185" t="s">
        <v>6</v>
      </c>
      <c r="C51" s="186" t="s">
        <v>114</v>
      </c>
      <c r="D51" s="207">
        <v>154.58000000000001</v>
      </c>
      <c r="E51" s="75">
        <v>155.33000000000001</v>
      </c>
    </row>
    <row r="52" spans="2:5">
      <c r="B52" s="185" t="s">
        <v>8</v>
      </c>
      <c r="C52" s="186" t="s">
        <v>115</v>
      </c>
      <c r="D52" s="207">
        <v>204.55</v>
      </c>
      <c r="E52" s="75">
        <v>206.03</v>
      </c>
    </row>
    <row r="53" spans="2:5" ht="13.5" thickBot="1">
      <c r="B53" s="189" t="s">
        <v>9</v>
      </c>
      <c r="C53" s="190" t="s">
        <v>41</v>
      </c>
      <c r="D53" s="209">
        <v>157.88</v>
      </c>
      <c r="E53" s="233">
        <v>204.3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4.25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11883.7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11883.7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11883.7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11883.7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6"/>
  <dimension ref="A1:G81"/>
  <sheetViews>
    <sheetView topLeftCell="A7" zoomScale="80" zoomScaleNormal="80" workbookViewId="0">
      <selection activeCell="G39" sqref="G39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44"/>
      <c r="C4" s="144"/>
      <c r="D4" s="144"/>
      <c r="E4" s="144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266</v>
      </c>
      <c r="C6" s="359"/>
      <c r="D6" s="359"/>
      <c r="E6" s="359"/>
    </row>
    <row r="7" spans="2:7" ht="14.25">
      <c r="B7" s="142"/>
      <c r="C7" s="142"/>
      <c r="D7" s="142"/>
      <c r="E7" s="142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43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/>
      <c r="E11" s="244"/>
    </row>
    <row r="12" spans="2:7">
      <c r="B12" s="174" t="s">
        <v>4</v>
      </c>
      <c r="C12" s="175" t="s">
        <v>5</v>
      </c>
      <c r="D12" s="283"/>
      <c r="E12" s="304"/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/>
      <c r="E21" s="148"/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10044.700000000001</v>
      </c>
      <c r="E26" s="231"/>
    </row>
    <row r="27" spans="2:6">
      <c r="B27" s="9" t="s">
        <v>17</v>
      </c>
      <c r="C27" s="10" t="s">
        <v>111</v>
      </c>
      <c r="D27" s="202">
        <v>-9788.75</v>
      </c>
      <c r="E27" s="224"/>
      <c r="F27" s="71"/>
    </row>
    <row r="28" spans="2:6">
      <c r="B28" s="9" t="s">
        <v>18</v>
      </c>
      <c r="C28" s="10" t="s">
        <v>19</v>
      </c>
      <c r="D28" s="202">
        <v>8692.43</v>
      </c>
      <c r="E28" s="225"/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>
        <v>8692.43</v>
      </c>
      <c r="E31" s="226"/>
      <c r="F31" s="71"/>
    </row>
    <row r="32" spans="2:6">
      <c r="B32" s="92" t="s">
        <v>23</v>
      </c>
      <c r="C32" s="11" t="s">
        <v>24</v>
      </c>
      <c r="D32" s="202">
        <v>18481.18</v>
      </c>
      <c r="E32" s="225"/>
      <c r="F32" s="71"/>
    </row>
    <row r="33" spans="2:6">
      <c r="B33" s="182" t="s">
        <v>4</v>
      </c>
      <c r="C33" s="175" t="s">
        <v>25</v>
      </c>
      <c r="D33" s="203"/>
      <c r="E33" s="226"/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5.8</v>
      </c>
      <c r="E35" s="226"/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60.89</v>
      </c>
      <c r="E37" s="226"/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>
        <v>18414.490000000002</v>
      </c>
      <c r="E39" s="227"/>
      <c r="F39" s="71"/>
    </row>
    <row r="40" spans="2:6" ht="13.5" thickBot="1">
      <c r="B40" s="97" t="s">
        <v>35</v>
      </c>
      <c r="C40" s="98" t="s">
        <v>36</v>
      </c>
      <c r="D40" s="205">
        <v>-255.95</v>
      </c>
      <c r="E40" s="232"/>
    </row>
    <row r="41" spans="2:6" ht="13.5" thickBot="1">
      <c r="B41" s="99" t="s">
        <v>37</v>
      </c>
      <c r="C41" s="100" t="s">
        <v>38</v>
      </c>
      <c r="D41" s="206" t="s">
        <v>123</v>
      </c>
      <c r="E41" s="148"/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637.75900000000001</v>
      </c>
      <c r="E47" s="73"/>
    </row>
    <row r="48" spans="2:6">
      <c r="B48" s="187" t="s">
        <v>6</v>
      </c>
      <c r="C48" s="188" t="s">
        <v>41</v>
      </c>
      <c r="D48" s="207">
        <v>0</v>
      </c>
      <c r="E48" s="149"/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85" t="s">
        <v>4</v>
      </c>
      <c r="C50" s="186" t="s">
        <v>40</v>
      </c>
      <c r="D50" s="207">
        <v>15.75</v>
      </c>
      <c r="E50" s="75"/>
    </row>
    <row r="51" spans="2:5">
      <c r="B51" s="185" t="s">
        <v>6</v>
      </c>
      <c r="C51" s="186" t="s">
        <v>114</v>
      </c>
      <c r="D51" s="207">
        <v>15.01</v>
      </c>
      <c r="E51" s="75"/>
    </row>
    <row r="52" spans="2:5">
      <c r="B52" s="185" t="s">
        <v>8</v>
      </c>
      <c r="C52" s="186" t="s">
        <v>115</v>
      </c>
      <c r="D52" s="207">
        <v>17.3</v>
      </c>
      <c r="E52" s="75"/>
    </row>
    <row r="53" spans="2:5" ht="13.5" customHeight="1" thickBot="1">
      <c r="B53" s="189" t="s">
        <v>9</v>
      </c>
      <c r="C53" s="190" t="s">
        <v>41</v>
      </c>
      <c r="D53" s="209">
        <v>0</v>
      </c>
      <c r="E53" s="233"/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8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0</v>
      </c>
      <c r="E58" s="31">
        <v>0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0</v>
      </c>
      <c r="E64" s="81">
        <f>E58</f>
        <v>0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0</v>
      </c>
      <c r="E74" s="66">
        <f>E58+E72-E73</f>
        <v>0</v>
      </c>
    </row>
    <row r="75" spans="2:5">
      <c r="B75" s="102" t="s">
        <v>4</v>
      </c>
      <c r="C75" s="15" t="s">
        <v>67</v>
      </c>
      <c r="D75" s="78">
        <v>0</v>
      </c>
      <c r="E75" s="79">
        <v>0</v>
      </c>
    </row>
    <row r="76" spans="2:5">
      <c r="B76" s="102" t="s">
        <v>6</v>
      </c>
      <c r="C76" s="15" t="s">
        <v>119</v>
      </c>
      <c r="D76" s="78">
        <f>D74</f>
        <v>0</v>
      </c>
      <c r="E76" s="79">
        <f>E74</f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7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44"/>
      <c r="C4" s="144"/>
      <c r="D4" s="144"/>
      <c r="E4" s="144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243</v>
      </c>
      <c r="C6" s="359"/>
      <c r="D6" s="359"/>
      <c r="E6" s="359"/>
    </row>
    <row r="7" spans="2:7" ht="14.25">
      <c r="B7" s="142"/>
      <c r="C7" s="142"/>
      <c r="D7" s="142"/>
      <c r="E7" s="142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43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5624189.2999999998</v>
      </c>
      <c r="E11" s="244">
        <f>SUM(E12:E14)</f>
        <v>4938164.21</v>
      </c>
    </row>
    <row r="12" spans="2:7">
      <c r="B12" s="174" t="s">
        <v>4</v>
      </c>
      <c r="C12" s="175" t="s">
        <v>5</v>
      </c>
      <c r="D12" s="283">
        <v>5624189.2999999998</v>
      </c>
      <c r="E12" s="304">
        <v>4938164.21</v>
      </c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5624189.2999999998</v>
      </c>
      <c r="E21" s="148">
        <f>E11-E17</f>
        <v>4938164.21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6841466.8399999999</v>
      </c>
      <c r="E26" s="231">
        <f>D21</f>
        <v>5624189.2999999998</v>
      </c>
    </row>
    <row r="27" spans="2:6">
      <c r="B27" s="9" t="s">
        <v>17</v>
      </c>
      <c r="C27" s="10" t="s">
        <v>111</v>
      </c>
      <c r="D27" s="202">
        <v>-1226064.1099999999</v>
      </c>
      <c r="E27" s="224">
        <v>-649845.04</v>
      </c>
      <c r="F27" s="71"/>
    </row>
    <row r="28" spans="2:6">
      <c r="B28" s="9" t="s">
        <v>18</v>
      </c>
      <c r="C28" s="10" t="s">
        <v>19</v>
      </c>
      <c r="D28" s="202">
        <v>0</v>
      </c>
      <c r="E28" s="225">
        <v>0</v>
      </c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/>
      <c r="E31" s="226"/>
      <c r="F31" s="71"/>
    </row>
    <row r="32" spans="2:6">
      <c r="B32" s="92" t="s">
        <v>23</v>
      </c>
      <c r="C32" s="11" t="s">
        <v>24</v>
      </c>
      <c r="D32" s="202">
        <v>1226064.1099999999</v>
      </c>
      <c r="E32" s="225">
        <v>649845.04</v>
      </c>
      <c r="F32" s="71"/>
    </row>
    <row r="33" spans="2:6">
      <c r="B33" s="182" t="s">
        <v>4</v>
      </c>
      <c r="C33" s="175" t="s">
        <v>25</v>
      </c>
      <c r="D33" s="203">
        <v>740881.88</v>
      </c>
      <c r="E33" s="226">
        <v>374458.08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5012.08</v>
      </c>
      <c r="E35" s="226">
        <v>4937.6899999999996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101597.9</v>
      </c>
      <c r="E37" s="226">
        <v>86414.41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>
        <v>378572.25</v>
      </c>
      <c r="E39" s="227">
        <v>184034.86</v>
      </c>
      <c r="F39" s="71"/>
    </row>
    <row r="40" spans="2:6" ht="13.5" thickBot="1">
      <c r="B40" s="97" t="s">
        <v>35</v>
      </c>
      <c r="C40" s="98" t="s">
        <v>36</v>
      </c>
      <c r="D40" s="205">
        <v>8786.57</v>
      </c>
      <c r="E40" s="232">
        <v>-36180.050000000003</v>
      </c>
    </row>
    <row r="41" spans="2:6" ht="13.5" thickBot="1">
      <c r="B41" s="99" t="s">
        <v>37</v>
      </c>
      <c r="C41" s="100" t="s">
        <v>38</v>
      </c>
      <c r="D41" s="206">
        <v>5624189.3000000007</v>
      </c>
      <c r="E41" s="148">
        <f>E26+E27+E40</f>
        <v>4938164.21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480440.087</v>
      </c>
      <c r="E47" s="73">
        <v>394679.951</v>
      </c>
    </row>
    <row r="48" spans="2:6">
      <c r="B48" s="187" t="s">
        <v>6</v>
      </c>
      <c r="C48" s="188" t="s">
        <v>41</v>
      </c>
      <c r="D48" s="207">
        <v>394679.951</v>
      </c>
      <c r="E48" s="149">
        <v>348986.87</v>
      </c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85" t="s">
        <v>4</v>
      </c>
      <c r="C50" s="186" t="s">
        <v>40</v>
      </c>
      <c r="D50" s="207">
        <v>14.24</v>
      </c>
      <c r="E50" s="75">
        <v>14.25</v>
      </c>
    </row>
    <row r="51" spans="2:5">
      <c r="B51" s="185" t="s">
        <v>6</v>
      </c>
      <c r="C51" s="186" t="s">
        <v>114</v>
      </c>
      <c r="D51" s="207">
        <v>13.67</v>
      </c>
      <c r="E51" s="75">
        <v>13.88</v>
      </c>
    </row>
    <row r="52" spans="2:5">
      <c r="B52" s="185" t="s">
        <v>8</v>
      </c>
      <c r="C52" s="186" t="s">
        <v>115</v>
      </c>
      <c r="D52" s="207">
        <v>14.5</v>
      </c>
      <c r="E52" s="75">
        <v>14.8</v>
      </c>
    </row>
    <row r="53" spans="2:5" ht="14.25" customHeight="1" thickBot="1">
      <c r="B53" s="189" t="s">
        <v>9</v>
      </c>
      <c r="C53" s="190" t="s">
        <v>41</v>
      </c>
      <c r="D53" s="209">
        <v>14.25</v>
      </c>
      <c r="E53" s="233">
        <v>14.15</v>
      </c>
    </row>
    <row r="54" spans="2:5">
      <c r="B54" s="191"/>
      <c r="C54" s="192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6.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4938164.21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4938164.21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4938164.21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v>0</v>
      </c>
      <c r="E75" s="79">
        <v>0</v>
      </c>
    </row>
    <row r="76" spans="2:5">
      <c r="B76" s="102" t="s">
        <v>6</v>
      </c>
      <c r="C76" s="15" t="s">
        <v>119</v>
      </c>
      <c r="D76" s="78">
        <f>D74</f>
        <v>4938164.21</v>
      </c>
      <c r="E76" s="79">
        <f>E74</f>
        <v>1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8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44"/>
      <c r="C4" s="144"/>
      <c r="D4" s="144"/>
      <c r="E4" s="144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244</v>
      </c>
      <c r="C6" s="359"/>
      <c r="D6" s="359"/>
      <c r="E6" s="359"/>
    </row>
    <row r="7" spans="2:7" ht="14.25">
      <c r="B7" s="142"/>
      <c r="C7" s="142"/>
      <c r="D7" s="142"/>
      <c r="E7" s="142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43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8455491.9800000004</v>
      </c>
      <c r="E11" s="244">
        <f>SUM(E12:E14)</f>
        <v>7703014.2799999993</v>
      </c>
    </row>
    <row r="12" spans="2:7">
      <c r="B12" s="174" t="s">
        <v>4</v>
      </c>
      <c r="C12" s="175" t="s">
        <v>5</v>
      </c>
      <c r="D12" s="283">
        <v>8455491.9800000004</v>
      </c>
      <c r="E12" s="304">
        <f>7703058.26-43.98</f>
        <v>7703014.2799999993</v>
      </c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8455491.9800000004</v>
      </c>
      <c r="E21" s="148">
        <f>E11-E17</f>
        <v>7703014.2799999993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11673425.619999999</v>
      </c>
      <c r="E26" s="231">
        <f>D21</f>
        <v>8455491.9800000004</v>
      </c>
    </row>
    <row r="27" spans="2:6">
      <c r="B27" s="9" t="s">
        <v>17</v>
      </c>
      <c r="C27" s="10" t="s">
        <v>111</v>
      </c>
      <c r="D27" s="202">
        <v>-3077698.42</v>
      </c>
      <c r="E27" s="224">
        <f>E28-E32</f>
        <v>-646823.65999999992</v>
      </c>
      <c r="F27" s="71"/>
    </row>
    <row r="28" spans="2:6">
      <c r="B28" s="9" t="s">
        <v>18</v>
      </c>
      <c r="C28" s="10" t="s">
        <v>19</v>
      </c>
      <c r="D28" s="202">
        <v>0</v>
      </c>
      <c r="E28" s="225">
        <v>8765.2800000000007</v>
      </c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/>
      <c r="E31" s="226">
        <v>8765.2800000000007</v>
      </c>
      <c r="F31" s="71"/>
    </row>
    <row r="32" spans="2:6">
      <c r="B32" s="92" t="s">
        <v>23</v>
      </c>
      <c r="C32" s="11" t="s">
        <v>24</v>
      </c>
      <c r="D32" s="202">
        <v>3077698.42</v>
      </c>
      <c r="E32" s="225">
        <f>SUM(E33:E39)</f>
        <v>655588.93999999994</v>
      </c>
      <c r="F32" s="71"/>
    </row>
    <row r="33" spans="2:6">
      <c r="B33" s="182" t="s">
        <v>4</v>
      </c>
      <c r="C33" s="175" t="s">
        <v>25</v>
      </c>
      <c r="D33" s="203">
        <v>1665983.35</v>
      </c>
      <c r="E33" s="226">
        <f>511602.91-0.56</f>
        <v>511602.35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12341.1</v>
      </c>
      <c r="E35" s="226">
        <v>12819.74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162921.79999999999</v>
      </c>
      <c r="E37" s="226">
        <v>131166.85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>
        <v>1236452.17</v>
      </c>
      <c r="E39" s="227"/>
      <c r="F39" s="71"/>
    </row>
    <row r="40" spans="2:6" ht="13.5" thickBot="1">
      <c r="B40" s="97" t="s">
        <v>35</v>
      </c>
      <c r="C40" s="98" t="s">
        <v>36</v>
      </c>
      <c r="D40" s="205">
        <v>-140235.22</v>
      </c>
      <c r="E40" s="232">
        <v>-105654.04</v>
      </c>
    </row>
    <row r="41" spans="2:6" ht="13.5" thickBot="1">
      <c r="B41" s="99" t="s">
        <v>37</v>
      </c>
      <c r="C41" s="100" t="s">
        <v>38</v>
      </c>
      <c r="D41" s="206">
        <v>8455491.9799999986</v>
      </c>
      <c r="E41" s="148">
        <f>E26+E27+E40</f>
        <v>7703014.2800000003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63"/>
      <c r="D43" s="363"/>
      <c r="E43" s="363"/>
    </row>
    <row r="44" spans="2:6" ht="18" customHeight="1" thickBot="1">
      <c r="B44" s="360" t="s">
        <v>121</v>
      </c>
      <c r="C44" s="364"/>
      <c r="D44" s="364"/>
      <c r="E44" s="364"/>
    </row>
    <row r="45" spans="2:6" ht="13.5" thickBot="1">
      <c r="B45" s="143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7">
        <v>129575.656</v>
      </c>
      <c r="E47" s="73">
        <v>95305.365000000005</v>
      </c>
    </row>
    <row r="48" spans="2:6">
      <c r="B48" s="123" t="s">
        <v>6</v>
      </c>
      <c r="C48" s="22" t="s">
        <v>41</v>
      </c>
      <c r="D48" s="207">
        <v>95305.365000000005</v>
      </c>
      <c r="E48" s="149">
        <v>87923.916000000012</v>
      </c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02" t="s">
        <v>4</v>
      </c>
      <c r="C50" s="15" t="s">
        <v>40</v>
      </c>
      <c r="D50" s="207">
        <v>90.09</v>
      </c>
      <c r="E50" s="75">
        <v>88.72</v>
      </c>
    </row>
    <row r="51" spans="2:5">
      <c r="B51" s="102" t="s">
        <v>6</v>
      </c>
      <c r="C51" s="15" t="s">
        <v>114</v>
      </c>
      <c r="D51" s="207">
        <v>84.25</v>
      </c>
      <c r="E51" s="75">
        <v>85.24</v>
      </c>
    </row>
    <row r="52" spans="2:5">
      <c r="B52" s="102" t="s">
        <v>8</v>
      </c>
      <c r="C52" s="15" t="s">
        <v>115</v>
      </c>
      <c r="D52" s="207">
        <v>91.94</v>
      </c>
      <c r="E52" s="75">
        <v>92.58</v>
      </c>
    </row>
    <row r="53" spans="2:5" ht="14.25" customHeight="1" thickBot="1">
      <c r="B53" s="103" t="s">
        <v>9</v>
      </c>
      <c r="C53" s="17" t="s">
        <v>41</v>
      </c>
      <c r="D53" s="209">
        <v>88.72</v>
      </c>
      <c r="E53" s="233">
        <v>87.61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6.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7703014.2799999993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3.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7703014.2799999993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7703014.2799999993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v>0</v>
      </c>
      <c r="E75" s="79">
        <v>0</v>
      </c>
    </row>
    <row r="76" spans="2:5">
      <c r="B76" s="102" t="s">
        <v>6</v>
      </c>
      <c r="C76" s="15" t="s">
        <v>119</v>
      </c>
      <c r="D76" s="78">
        <f>D74</f>
        <v>7703014.2799999993</v>
      </c>
      <c r="E76" s="79">
        <f>E74</f>
        <v>1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9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44"/>
      <c r="C4" s="144"/>
      <c r="D4" s="144"/>
      <c r="E4" s="144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245</v>
      </c>
      <c r="C6" s="359"/>
      <c r="D6" s="359"/>
      <c r="E6" s="359"/>
    </row>
    <row r="7" spans="2:7" ht="14.25">
      <c r="B7" s="142"/>
      <c r="C7" s="142"/>
      <c r="D7" s="142"/>
      <c r="E7" s="142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43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27104.97</v>
      </c>
      <c r="E11" s="244">
        <f>SUM(E12:E14)</f>
        <v>32036.97</v>
      </c>
    </row>
    <row r="12" spans="2:7">
      <c r="B12" s="174" t="s">
        <v>4</v>
      </c>
      <c r="C12" s="175" t="s">
        <v>5</v>
      </c>
      <c r="D12" s="283">
        <v>27104.97</v>
      </c>
      <c r="E12" s="304">
        <v>32036.97</v>
      </c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27104.97</v>
      </c>
      <c r="E21" s="148">
        <f>E11-E17</f>
        <v>32036.97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53143.45</v>
      </c>
      <c r="E26" s="231">
        <f>D21</f>
        <v>27104.97</v>
      </c>
    </row>
    <row r="27" spans="2:6">
      <c r="B27" s="9" t="s">
        <v>17</v>
      </c>
      <c r="C27" s="10" t="s">
        <v>111</v>
      </c>
      <c r="D27" s="202">
        <v>-23736.340000000004</v>
      </c>
      <c r="E27" s="224">
        <v>-516.42000000000007</v>
      </c>
      <c r="F27" s="71"/>
    </row>
    <row r="28" spans="2:6">
      <c r="B28" s="9" t="s">
        <v>18</v>
      </c>
      <c r="C28" s="10" t="s">
        <v>19</v>
      </c>
      <c r="D28" s="202">
        <v>0</v>
      </c>
      <c r="E28" s="225">
        <v>0</v>
      </c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/>
      <c r="E31" s="226"/>
      <c r="F31" s="71"/>
    </row>
    <row r="32" spans="2:6">
      <c r="B32" s="92" t="s">
        <v>23</v>
      </c>
      <c r="C32" s="11" t="s">
        <v>24</v>
      </c>
      <c r="D32" s="202">
        <v>23736.340000000004</v>
      </c>
      <c r="E32" s="225">
        <v>516.42000000000007</v>
      </c>
      <c r="F32" s="71"/>
    </row>
    <row r="33" spans="2:6">
      <c r="B33" s="182" t="s">
        <v>4</v>
      </c>
      <c r="C33" s="175" t="s">
        <v>25</v>
      </c>
      <c r="D33" s="203">
        <v>23069.88</v>
      </c>
      <c r="E33" s="226">
        <v>0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80.88</v>
      </c>
      <c r="E35" s="226">
        <v>45.95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585.58000000000004</v>
      </c>
      <c r="E37" s="226">
        <v>470.47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/>
      <c r="E39" s="227"/>
      <c r="F39" s="71"/>
    </row>
    <row r="40" spans="2:6" ht="13.5" thickBot="1">
      <c r="B40" s="97" t="s">
        <v>35</v>
      </c>
      <c r="C40" s="98" t="s">
        <v>36</v>
      </c>
      <c r="D40" s="205">
        <v>-2302.14</v>
      </c>
      <c r="E40" s="232">
        <v>5448.42</v>
      </c>
    </row>
    <row r="41" spans="2:6" ht="13.5" thickBot="1">
      <c r="B41" s="99" t="s">
        <v>37</v>
      </c>
      <c r="C41" s="100" t="s">
        <v>38</v>
      </c>
      <c r="D41" s="206">
        <v>27104.969999999994</v>
      </c>
      <c r="E41" s="148">
        <f>E26+E27+E40</f>
        <v>32036.97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6804.5389999999998</v>
      </c>
      <c r="E47" s="73">
        <v>3861.107</v>
      </c>
    </row>
    <row r="48" spans="2:6">
      <c r="B48" s="187" t="s">
        <v>6</v>
      </c>
      <c r="C48" s="188" t="s">
        <v>41</v>
      </c>
      <c r="D48" s="207">
        <v>3861.107</v>
      </c>
      <c r="E48" s="149">
        <v>3800.3519999999999</v>
      </c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85" t="s">
        <v>4</v>
      </c>
      <c r="C50" s="186" t="s">
        <v>40</v>
      </c>
      <c r="D50" s="207">
        <v>7.81</v>
      </c>
      <c r="E50" s="75">
        <v>7.02</v>
      </c>
    </row>
    <row r="51" spans="2:5">
      <c r="B51" s="185" t="s">
        <v>6</v>
      </c>
      <c r="C51" s="186" t="s">
        <v>114</v>
      </c>
      <c r="D51" s="207">
        <v>6.47</v>
      </c>
      <c r="E51" s="75">
        <v>7.02</v>
      </c>
    </row>
    <row r="52" spans="2:5">
      <c r="B52" s="185" t="s">
        <v>8</v>
      </c>
      <c r="C52" s="186" t="s">
        <v>115</v>
      </c>
      <c r="D52" s="207">
        <v>8.84</v>
      </c>
      <c r="E52" s="75">
        <v>8.5500000000000007</v>
      </c>
    </row>
    <row r="53" spans="2:5" ht="14.25" customHeight="1" thickBot="1">
      <c r="B53" s="189" t="s">
        <v>9</v>
      </c>
      <c r="C53" s="190" t="s">
        <v>41</v>
      </c>
      <c r="D53" s="209">
        <v>7.02</v>
      </c>
      <c r="E53" s="233">
        <v>8.43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5.7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32036.97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3.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32036.97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32036.97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v>0</v>
      </c>
      <c r="E75" s="79">
        <v>0</v>
      </c>
    </row>
    <row r="76" spans="2:5">
      <c r="B76" s="102" t="s">
        <v>6</v>
      </c>
      <c r="C76" s="15" t="s">
        <v>119</v>
      </c>
      <c r="D76" s="78">
        <f>D74</f>
        <v>32036.97</v>
      </c>
      <c r="E76" s="79">
        <f>E74</f>
        <v>1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0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44"/>
      <c r="C4" s="144"/>
      <c r="D4" s="144"/>
      <c r="E4" s="144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281</v>
      </c>
      <c r="C6" s="359"/>
      <c r="D6" s="359"/>
      <c r="E6" s="359"/>
    </row>
    <row r="7" spans="2:7" ht="14.25">
      <c r="B7" s="142"/>
      <c r="C7" s="142"/>
      <c r="D7" s="142"/>
      <c r="E7" s="142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43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144862.87</v>
      </c>
      <c r="E11" s="244">
        <f>SUM(E12:E14)</f>
        <v>144046.09</v>
      </c>
    </row>
    <row r="12" spans="2:7">
      <c r="B12" s="174" t="s">
        <v>4</v>
      </c>
      <c r="C12" s="175" t="s">
        <v>5</v>
      </c>
      <c r="D12" s="283">
        <v>144862.87</v>
      </c>
      <c r="E12" s="304">
        <v>144046.09</v>
      </c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144862.87</v>
      </c>
      <c r="E21" s="148">
        <f>E11-E17</f>
        <v>144046.09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186984.3</v>
      </c>
      <c r="E26" s="231">
        <f>D21</f>
        <v>144862.87</v>
      </c>
    </row>
    <row r="27" spans="2:6">
      <c r="B27" s="9" t="s">
        <v>17</v>
      </c>
      <c r="C27" s="10" t="s">
        <v>111</v>
      </c>
      <c r="D27" s="202">
        <v>-22338.75</v>
      </c>
      <c r="E27" s="224">
        <v>-23717.69</v>
      </c>
      <c r="F27" s="71"/>
    </row>
    <row r="28" spans="2:6">
      <c r="B28" s="9" t="s">
        <v>18</v>
      </c>
      <c r="C28" s="10" t="s">
        <v>19</v>
      </c>
      <c r="D28" s="202">
        <v>0</v>
      </c>
      <c r="E28" s="225">
        <v>0</v>
      </c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/>
      <c r="E31" s="226"/>
      <c r="F31" s="71"/>
    </row>
    <row r="32" spans="2:6">
      <c r="B32" s="92" t="s">
        <v>23</v>
      </c>
      <c r="C32" s="11" t="s">
        <v>24</v>
      </c>
      <c r="D32" s="202">
        <v>22338.75</v>
      </c>
      <c r="E32" s="225">
        <v>23717.69</v>
      </c>
      <c r="F32" s="71"/>
    </row>
    <row r="33" spans="2:6">
      <c r="B33" s="182" t="s">
        <v>4</v>
      </c>
      <c r="C33" s="175" t="s">
        <v>25</v>
      </c>
      <c r="D33" s="203">
        <v>19335.97</v>
      </c>
      <c r="E33" s="226">
        <v>21120.7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584.85</v>
      </c>
      <c r="E35" s="226">
        <v>533.34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2417.9299999999998</v>
      </c>
      <c r="E37" s="226">
        <v>2063.6499999999978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/>
      <c r="E39" s="227"/>
      <c r="F39" s="71"/>
    </row>
    <row r="40" spans="2:6" ht="13.5" thickBot="1">
      <c r="B40" s="97" t="s">
        <v>35</v>
      </c>
      <c r="C40" s="98" t="s">
        <v>36</v>
      </c>
      <c r="D40" s="205">
        <v>-19782.68</v>
      </c>
      <c r="E40" s="232">
        <v>22900.91</v>
      </c>
    </row>
    <row r="41" spans="2:6" ht="13.5" thickBot="1">
      <c r="B41" s="99" t="s">
        <v>37</v>
      </c>
      <c r="C41" s="100" t="s">
        <v>38</v>
      </c>
      <c r="D41" s="206">
        <v>144862.87</v>
      </c>
      <c r="E41" s="148">
        <f>E26+E27+E40</f>
        <v>144046.09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1407.5903000000001</v>
      </c>
      <c r="E47" s="73">
        <v>1234.3462</v>
      </c>
    </row>
    <row r="48" spans="2:6">
      <c r="B48" s="187" t="s">
        <v>6</v>
      </c>
      <c r="C48" s="188" t="s">
        <v>41</v>
      </c>
      <c r="D48" s="207">
        <v>1234.3462</v>
      </c>
      <c r="E48" s="149">
        <v>1050.971</v>
      </c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85" t="s">
        <v>4</v>
      </c>
      <c r="C50" s="186" t="s">
        <v>40</v>
      </c>
      <c r="D50" s="207">
        <v>132.84</v>
      </c>
      <c r="E50" s="75">
        <v>117.36</v>
      </c>
    </row>
    <row r="51" spans="2:5">
      <c r="B51" s="185" t="s">
        <v>6</v>
      </c>
      <c r="C51" s="186" t="s">
        <v>114</v>
      </c>
      <c r="D51" s="207">
        <v>115.92</v>
      </c>
      <c r="E51" s="75">
        <v>116.10000000000001</v>
      </c>
    </row>
    <row r="52" spans="2:5">
      <c r="B52" s="185" t="s">
        <v>8</v>
      </c>
      <c r="C52" s="186" t="s">
        <v>115</v>
      </c>
      <c r="D52" s="207">
        <v>139.44</v>
      </c>
      <c r="E52" s="75">
        <v>137.46</v>
      </c>
    </row>
    <row r="53" spans="2:5" ht="14.25" customHeight="1" thickBot="1">
      <c r="B53" s="189" t="s">
        <v>9</v>
      </c>
      <c r="C53" s="190" t="s">
        <v>41</v>
      </c>
      <c r="D53" s="209">
        <v>117.36</v>
      </c>
      <c r="E53" s="233">
        <v>137.06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7.2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144046.09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144046.09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144046.09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144046.09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F81"/>
  <sheetViews>
    <sheetView topLeftCell="A4" zoomScale="80" zoomScaleNormal="80" workbookViewId="0">
      <selection activeCell="K39" sqref="K39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85"/>
      <c r="C4" s="85"/>
      <c r="D4" s="85"/>
      <c r="E4" s="85"/>
    </row>
    <row r="5" spans="2:5" ht="21" customHeight="1">
      <c r="B5" s="358" t="s">
        <v>126</v>
      </c>
      <c r="C5" s="358"/>
      <c r="D5" s="358"/>
      <c r="E5" s="358"/>
    </row>
    <row r="6" spans="2:5" ht="14.25">
      <c r="B6" s="359" t="s">
        <v>144</v>
      </c>
      <c r="C6" s="359"/>
      <c r="D6" s="359"/>
      <c r="E6" s="359"/>
    </row>
    <row r="7" spans="2:5" ht="14.25">
      <c r="B7" s="89"/>
      <c r="C7" s="89"/>
      <c r="D7" s="89"/>
      <c r="E7" s="89"/>
    </row>
    <row r="8" spans="2:5" ht="13.5">
      <c r="B8" s="361" t="s">
        <v>127</v>
      </c>
      <c r="C8" s="363"/>
      <c r="D8" s="363"/>
      <c r="E8" s="363"/>
    </row>
    <row r="9" spans="2:5" ht="16.5" thickBot="1">
      <c r="B9" s="360" t="s">
        <v>103</v>
      </c>
      <c r="C9" s="360"/>
      <c r="D9" s="360"/>
      <c r="E9" s="360"/>
    </row>
    <row r="10" spans="2:5" ht="13.5" thickBot="1">
      <c r="B10" s="86"/>
      <c r="C10" s="76" t="s">
        <v>2</v>
      </c>
      <c r="D10" s="70" t="s">
        <v>125</v>
      </c>
      <c r="E10" s="319" t="s">
        <v>268</v>
      </c>
    </row>
    <row r="11" spans="2:5">
      <c r="B11" s="90" t="s">
        <v>128</v>
      </c>
      <c r="C11" s="128" t="s">
        <v>109</v>
      </c>
      <c r="D11" s="243">
        <v>20436417.82</v>
      </c>
      <c r="E11" s="244">
        <f>SUM(E12:E14)</f>
        <v>17084307.850000001</v>
      </c>
    </row>
    <row r="12" spans="2:5">
      <c r="B12" s="106">
        <v>1</v>
      </c>
      <c r="C12" s="6" t="s">
        <v>5</v>
      </c>
      <c r="D12" s="283">
        <v>20418547.73</v>
      </c>
      <c r="E12" s="304">
        <f>15922875.71+1219689.46-75462.41</f>
        <v>17067102.760000002</v>
      </c>
    </row>
    <row r="13" spans="2:5">
      <c r="B13" s="106">
        <v>2</v>
      </c>
      <c r="C13" s="68" t="s">
        <v>7</v>
      </c>
      <c r="D13" s="276"/>
      <c r="E13" s="305">
        <v>4.26</v>
      </c>
    </row>
    <row r="14" spans="2:5">
      <c r="B14" s="106">
        <v>3</v>
      </c>
      <c r="C14" s="68" t="s">
        <v>10</v>
      </c>
      <c r="D14" s="276">
        <v>17870.09</v>
      </c>
      <c r="E14" s="305">
        <f>E15</f>
        <v>17200.830000000002</v>
      </c>
    </row>
    <row r="15" spans="2:5">
      <c r="B15" s="106">
        <v>31</v>
      </c>
      <c r="C15" s="68" t="s">
        <v>11</v>
      </c>
      <c r="D15" s="276">
        <v>17870.09</v>
      </c>
      <c r="E15" s="305">
        <v>17200.830000000002</v>
      </c>
    </row>
    <row r="16" spans="2:5">
      <c r="B16" s="107">
        <v>32</v>
      </c>
      <c r="C16" s="91" t="s">
        <v>12</v>
      </c>
      <c r="D16" s="278"/>
      <c r="E16" s="306"/>
    </row>
    <row r="17" spans="2:6">
      <c r="B17" s="9" t="s">
        <v>129</v>
      </c>
      <c r="C17" s="11" t="s">
        <v>65</v>
      </c>
      <c r="D17" s="279">
        <v>11251.35</v>
      </c>
      <c r="E17" s="307">
        <f>E18</f>
        <v>21282.9</v>
      </c>
    </row>
    <row r="18" spans="2:6">
      <c r="B18" s="106">
        <v>1</v>
      </c>
      <c r="C18" s="6" t="s">
        <v>11</v>
      </c>
      <c r="D18" s="278">
        <v>11251.35</v>
      </c>
      <c r="E18" s="306">
        <v>21282.9</v>
      </c>
    </row>
    <row r="19" spans="2:6" ht="15" customHeight="1">
      <c r="B19" s="106">
        <v>2</v>
      </c>
      <c r="C19" s="68" t="s">
        <v>108</v>
      </c>
      <c r="D19" s="276"/>
      <c r="E19" s="305"/>
    </row>
    <row r="20" spans="2:6" ht="13.5" thickBot="1">
      <c r="B20" s="108">
        <v>3</v>
      </c>
      <c r="C20" s="69" t="s">
        <v>14</v>
      </c>
      <c r="D20" s="245"/>
      <c r="E20" s="246"/>
    </row>
    <row r="21" spans="2:6" ht="13.5" thickBot="1">
      <c r="B21" s="367" t="s">
        <v>130</v>
      </c>
      <c r="C21" s="368"/>
      <c r="D21" s="247">
        <v>20425166.469999999</v>
      </c>
      <c r="E21" s="148">
        <f>E11-E17</f>
        <v>17063024.950000003</v>
      </c>
      <c r="F21" s="77"/>
    </row>
    <row r="22" spans="2:6">
      <c r="B22" s="3"/>
      <c r="C22" s="7"/>
      <c r="D22" s="8"/>
      <c r="E22" s="8"/>
    </row>
    <row r="23" spans="2:6" ht="13.5">
      <c r="B23" s="361" t="s">
        <v>131</v>
      </c>
      <c r="C23" s="369"/>
      <c r="D23" s="369"/>
      <c r="E23" s="369"/>
    </row>
    <row r="24" spans="2:6" ht="15.75" customHeight="1" thickBot="1">
      <c r="B24" s="360" t="s">
        <v>105</v>
      </c>
      <c r="C24" s="370"/>
      <c r="D24" s="370"/>
      <c r="E24" s="370"/>
    </row>
    <row r="25" spans="2:6" ht="13.5" thickBot="1">
      <c r="B25" s="86"/>
      <c r="C25" s="5" t="s">
        <v>2</v>
      </c>
      <c r="D25" s="70" t="s">
        <v>125</v>
      </c>
      <c r="E25" s="319" t="s">
        <v>268</v>
      </c>
    </row>
    <row r="26" spans="2:6">
      <c r="B26" s="95" t="s">
        <v>132</v>
      </c>
      <c r="C26" s="96" t="s">
        <v>16</v>
      </c>
      <c r="D26" s="281">
        <v>27794805.75</v>
      </c>
      <c r="E26" s="231">
        <f>D21</f>
        <v>20425166.469999999</v>
      </c>
    </row>
    <row r="27" spans="2:6">
      <c r="B27" s="9" t="s">
        <v>133</v>
      </c>
      <c r="C27" s="10" t="s">
        <v>111</v>
      </c>
      <c r="D27" s="282">
        <v>-6127291.2999999989</v>
      </c>
      <c r="E27" s="224">
        <f>E28-E32</f>
        <v>-4247793.0599999949</v>
      </c>
      <c r="F27" s="71"/>
    </row>
    <row r="28" spans="2:6">
      <c r="B28" s="9" t="s">
        <v>127</v>
      </c>
      <c r="C28" s="10" t="s">
        <v>19</v>
      </c>
      <c r="D28" s="282">
        <v>1904071.9100000001</v>
      </c>
      <c r="E28" s="225">
        <v>1205511.32</v>
      </c>
      <c r="F28" s="71"/>
    </row>
    <row r="29" spans="2:6">
      <c r="B29" s="104">
        <v>1</v>
      </c>
      <c r="C29" s="6" t="s">
        <v>20</v>
      </c>
      <c r="D29" s="283">
        <v>1340032.96</v>
      </c>
      <c r="E29" s="226">
        <v>1199939.19</v>
      </c>
      <c r="F29" s="71"/>
    </row>
    <row r="30" spans="2:6">
      <c r="B30" s="104">
        <v>2</v>
      </c>
      <c r="C30" s="6" t="s">
        <v>21</v>
      </c>
      <c r="D30" s="283"/>
      <c r="E30" s="226"/>
      <c r="F30" s="71"/>
    </row>
    <row r="31" spans="2:6">
      <c r="B31" s="104">
        <v>3</v>
      </c>
      <c r="C31" s="6" t="s">
        <v>22</v>
      </c>
      <c r="D31" s="283">
        <v>564038.94999999995</v>
      </c>
      <c r="E31" s="226">
        <v>5572.13</v>
      </c>
      <c r="F31" s="71"/>
    </row>
    <row r="32" spans="2:6">
      <c r="B32" s="92" t="s">
        <v>134</v>
      </c>
      <c r="C32" s="11" t="s">
        <v>24</v>
      </c>
      <c r="D32" s="282">
        <v>8031363.209999999</v>
      </c>
      <c r="E32" s="225">
        <f>SUM(E33:E39)</f>
        <v>5453304.3799999952</v>
      </c>
      <c r="F32" s="71"/>
    </row>
    <row r="33" spans="2:6">
      <c r="B33" s="104">
        <v>1</v>
      </c>
      <c r="C33" s="6" t="s">
        <v>25</v>
      </c>
      <c r="D33" s="283">
        <v>7316073.9399999995</v>
      </c>
      <c r="E33" s="226">
        <f>4521303.85+72670.47</f>
        <v>4593974.3199999994</v>
      </c>
      <c r="F33" s="71"/>
    </row>
    <row r="34" spans="2:6">
      <c r="B34" s="104">
        <v>2</v>
      </c>
      <c r="C34" s="6" t="s">
        <v>26</v>
      </c>
      <c r="D34" s="283"/>
      <c r="E34" s="226"/>
      <c r="F34" s="71"/>
    </row>
    <row r="35" spans="2:6">
      <c r="B35" s="104">
        <v>3</v>
      </c>
      <c r="C35" s="6" t="s">
        <v>27</v>
      </c>
      <c r="D35" s="283">
        <v>133828.62</v>
      </c>
      <c r="E35" s="226">
        <v>129720.43000000001</v>
      </c>
      <c r="F35" s="71"/>
    </row>
    <row r="36" spans="2:6">
      <c r="B36" s="104">
        <v>4</v>
      </c>
      <c r="C36" s="6" t="s">
        <v>28</v>
      </c>
      <c r="D36" s="283"/>
      <c r="E36" s="226"/>
      <c r="F36" s="71"/>
    </row>
    <row r="37" spans="2:6" ht="25.5">
      <c r="B37" s="104">
        <v>5</v>
      </c>
      <c r="C37" s="6" t="s">
        <v>30</v>
      </c>
      <c r="D37" s="283">
        <v>391949.85000000003</v>
      </c>
      <c r="E37" s="226">
        <v>300329.3</v>
      </c>
      <c r="F37" s="71"/>
    </row>
    <row r="38" spans="2:6">
      <c r="B38" s="104">
        <v>6</v>
      </c>
      <c r="C38" s="6" t="s">
        <v>32</v>
      </c>
      <c r="D38" s="283"/>
      <c r="E38" s="226"/>
      <c r="F38" s="71"/>
    </row>
    <row r="39" spans="2:6">
      <c r="B39" s="105">
        <v>7</v>
      </c>
      <c r="C39" s="12" t="s">
        <v>34</v>
      </c>
      <c r="D39" s="284">
        <v>189510.8</v>
      </c>
      <c r="E39" s="227">
        <v>429280.32999999629</v>
      </c>
      <c r="F39" s="71"/>
    </row>
    <row r="40" spans="2:6" ht="13.5" thickBot="1">
      <c r="B40" s="97" t="s">
        <v>135</v>
      </c>
      <c r="C40" s="98" t="s">
        <v>36</v>
      </c>
      <c r="D40" s="285">
        <v>-1242347.98</v>
      </c>
      <c r="E40" s="232">
        <v>885651.54</v>
      </c>
    </row>
    <row r="41" spans="2:6" ht="13.5" thickBot="1">
      <c r="B41" s="99" t="s">
        <v>136</v>
      </c>
      <c r="C41" s="100" t="s">
        <v>38</v>
      </c>
      <c r="D41" s="247">
        <v>20425166.470000003</v>
      </c>
      <c r="E41" s="148">
        <f>E26+E27+E40</f>
        <v>17063024.950000003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137</v>
      </c>
      <c r="C43" s="363"/>
      <c r="D43" s="363"/>
      <c r="E43" s="363"/>
    </row>
    <row r="44" spans="2:6" ht="18" customHeight="1" thickBot="1">
      <c r="B44" s="360" t="s">
        <v>121</v>
      </c>
      <c r="C44" s="364"/>
      <c r="D44" s="364"/>
      <c r="E44" s="364"/>
    </row>
    <row r="45" spans="2:6" ht="13.5" thickBot="1">
      <c r="B45" s="86"/>
      <c r="C45" s="29" t="s">
        <v>39</v>
      </c>
      <c r="D45" s="70" t="s">
        <v>125</v>
      </c>
      <c r="E45" s="319" t="s">
        <v>268</v>
      </c>
    </row>
    <row r="46" spans="2:6">
      <c r="B46" s="13" t="s">
        <v>127</v>
      </c>
      <c r="C46" s="30" t="s">
        <v>112</v>
      </c>
      <c r="D46" s="101"/>
      <c r="E46" s="28"/>
    </row>
    <row r="47" spans="2:6">
      <c r="B47" s="102">
        <v>1</v>
      </c>
      <c r="C47" s="15" t="s">
        <v>40</v>
      </c>
      <c r="D47" s="260">
        <v>200882.4307</v>
      </c>
      <c r="E47" s="73">
        <v>155682.65416000001</v>
      </c>
    </row>
    <row r="48" spans="2:6">
      <c r="B48" s="123">
        <v>2</v>
      </c>
      <c r="C48" s="22" t="s">
        <v>41</v>
      </c>
      <c r="D48" s="260">
        <v>155682.65416000001</v>
      </c>
      <c r="E48" s="312">
        <v>124326.6963</v>
      </c>
    </row>
    <row r="49" spans="2:5">
      <c r="B49" s="120" t="s">
        <v>134</v>
      </c>
      <c r="C49" s="124" t="s">
        <v>113</v>
      </c>
      <c r="D49" s="262"/>
      <c r="E49" s="125"/>
    </row>
    <row r="50" spans="2:5">
      <c r="B50" s="102">
        <v>1</v>
      </c>
      <c r="C50" s="15" t="s">
        <v>40</v>
      </c>
      <c r="D50" s="260">
        <v>138.36354752522999</v>
      </c>
      <c r="E50" s="73">
        <v>131.197445090125</v>
      </c>
    </row>
    <row r="51" spans="2:5">
      <c r="B51" s="102">
        <v>2</v>
      </c>
      <c r="C51" s="15" t="s">
        <v>114</v>
      </c>
      <c r="D51" s="260">
        <v>130.3809</v>
      </c>
      <c r="E51" s="234">
        <v>131.1311</v>
      </c>
    </row>
    <row r="52" spans="2:5" ht="12.75" customHeight="1">
      <c r="B52" s="102">
        <v>3</v>
      </c>
      <c r="C52" s="15" t="s">
        <v>115</v>
      </c>
      <c r="D52" s="260">
        <v>140.15559999999999</v>
      </c>
      <c r="E52" s="234">
        <v>137.54490000000001</v>
      </c>
    </row>
    <row r="53" spans="2:5" ht="13.5" thickBot="1">
      <c r="B53" s="103">
        <v>4</v>
      </c>
      <c r="C53" s="17" t="s">
        <v>41</v>
      </c>
      <c r="D53" s="209">
        <v>131.197445090125</v>
      </c>
      <c r="E53" s="233">
        <v>137.24350000000001</v>
      </c>
    </row>
    <row r="54" spans="2:5">
      <c r="B54" s="109"/>
      <c r="C54" s="110"/>
      <c r="D54" s="111"/>
      <c r="E54" s="111"/>
    </row>
    <row r="55" spans="2:5" ht="13.5">
      <c r="B55" s="362" t="s">
        <v>138</v>
      </c>
      <c r="C55" s="363"/>
      <c r="D55" s="363"/>
      <c r="E55" s="363"/>
    </row>
    <row r="56" spans="2:5" ht="17.2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127</v>
      </c>
      <c r="C58" s="126" t="s">
        <v>43</v>
      </c>
      <c r="D58" s="127">
        <f>SUM(D59:D70)</f>
        <v>17067102.760000002</v>
      </c>
      <c r="E58" s="31">
        <f>D58/E21</f>
        <v>1.0002389851747828</v>
      </c>
    </row>
    <row r="59" spans="2:5" ht="25.5">
      <c r="B59" s="21">
        <v>1</v>
      </c>
      <c r="C59" s="22" t="s">
        <v>44</v>
      </c>
      <c r="D59" s="80">
        <v>0</v>
      </c>
      <c r="E59" s="81">
        <v>0</v>
      </c>
    </row>
    <row r="60" spans="2:5" ht="24" customHeight="1">
      <c r="B60" s="14">
        <v>2</v>
      </c>
      <c r="C60" s="15" t="s">
        <v>45</v>
      </c>
      <c r="D60" s="78">
        <v>0</v>
      </c>
      <c r="E60" s="79">
        <v>0</v>
      </c>
    </row>
    <row r="61" spans="2:5">
      <c r="B61" s="14">
        <v>3</v>
      </c>
      <c r="C61" s="15" t="s">
        <v>46</v>
      </c>
      <c r="D61" s="78">
        <v>0</v>
      </c>
      <c r="E61" s="79">
        <v>0</v>
      </c>
    </row>
    <row r="62" spans="2:5">
      <c r="B62" s="14">
        <v>4</v>
      </c>
      <c r="C62" s="15" t="s">
        <v>47</v>
      </c>
      <c r="D62" s="78">
        <v>0</v>
      </c>
      <c r="E62" s="79">
        <v>0</v>
      </c>
    </row>
    <row r="63" spans="2:5">
      <c r="B63" s="14">
        <v>5</v>
      </c>
      <c r="C63" s="15" t="s">
        <v>48</v>
      </c>
      <c r="D63" s="78">
        <v>0</v>
      </c>
      <c r="E63" s="79">
        <v>0</v>
      </c>
    </row>
    <row r="64" spans="2:5">
      <c r="B64" s="21">
        <v>6</v>
      </c>
      <c r="C64" s="22" t="s">
        <v>49</v>
      </c>
      <c r="D64" s="269">
        <f>15922875.71-75462.41</f>
        <v>15847413.300000001</v>
      </c>
      <c r="E64" s="81">
        <f>D64/E21</f>
        <v>0.92875755303868313</v>
      </c>
    </row>
    <row r="65" spans="2:5">
      <c r="B65" s="21">
        <v>7</v>
      </c>
      <c r="C65" s="22" t="s">
        <v>118</v>
      </c>
      <c r="D65" s="80">
        <v>0</v>
      </c>
      <c r="E65" s="81">
        <v>0</v>
      </c>
    </row>
    <row r="66" spans="2:5">
      <c r="B66" s="21">
        <v>8</v>
      </c>
      <c r="C66" s="22" t="s">
        <v>51</v>
      </c>
      <c r="D66" s="80">
        <v>0</v>
      </c>
      <c r="E66" s="81">
        <v>0</v>
      </c>
    </row>
    <row r="67" spans="2:5">
      <c r="B67" s="14">
        <v>9</v>
      </c>
      <c r="C67" s="15" t="s">
        <v>53</v>
      </c>
      <c r="D67" s="78">
        <v>0</v>
      </c>
      <c r="E67" s="79">
        <v>0</v>
      </c>
    </row>
    <row r="68" spans="2:5">
      <c r="B68" s="14">
        <v>10</v>
      </c>
      <c r="C68" s="15" t="s">
        <v>55</v>
      </c>
      <c r="D68" s="78">
        <v>0</v>
      </c>
      <c r="E68" s="79">
        <v>0</v>
      </c>
    </row>
    <row r="69" spans="2:5">
      <c r="B69" s="14">
        <v>11</v>
      </c>
      <c r="C69" s="15" t="s">
        <v>57</v>
      </c>
      <c r="D69" s="286">
        <v>1219689.46</v>
      </c>
      <c r="E69" s="79">
        <f>D69/E21</f>
        <v>7.1481432136099629E-2</v>
      </c>
    </row>
    <row r="70" spans="2:5">
      <c r="B70" s="112">
        <v>12</v>
      </c>
      <c r="C70" s="113" t="s">
        <v>59</v>
      </c>
      <c r="D70" s="114">
        <v>0</v>
      </c>
      <c r="E70" s="115">
        <v>0</v>
      </c>
    </row>
    <row r="71" spans="2:5">
      <c r="B71" s="120" t="s">
        <v>134</v>
      </c>
      <c r="C71" s="121" t="s">
        <v>61</v>
      </c>
      <c r="D71" s="122">
        <f>E13</f>
        <v>4.26</v>
      </c>
      <c r="E71" s="66">
        <f>D71/E21</f>
        <v>2.4966264847429641E-7</v>
      </c>
    </row>
    <row r="72" spans="2:5">
      <c r="B72" s="116" t="s">
        <v>137</v>
      </c>
      <c r="C72" s="117" t="s">
        <v>63</v>
      </c>
      <c r="D72" s="118">
        <f>E14</f>
        <v>17200.830000000002</v>
      </c>
      <c r="E72" s="119">
        <f>D72/E21</f>
        <v>1.008076237970923E-3</v>
      </c>
    </row>
    <row r="73" spans="2:5">
      <c r="B73" s="23" t="s">
        <v>138</v>
      </c>
      <c r="C73" s="24" t="s">
        <v>65</v>
      </c>
      <c r="D73" s="25">
        <f>E17</f>
        <v>21282.9</v>
      </c>
      <c r="E73" s="26">
        <f>D73/E21</f>
        <v>1.2473110754022544E-3</v>
      </c>
    </row>
    <row r="74" spans="2:5">
      <c r="B74" s="120" t="s">
        <v>139</v>
      </c>
      <c r="C74" s="121" t="s">
        <v>66</v>
      </c>
      <c r="D74" s="122">
        <f>D58+D71+D72-D73</f>
        <v>17063024.950000003</v>
      </c>
      <c r="E74" s="66">
        <f>E58+E72-E73</f>
        <v>0.99999975033735156</v>
      </c>
    </row>
    <row r="75" spans="2:5">
      <c r="B75" s="14">
        <v>1</v>
      </c>
      <c r="C75" s="15" t="s">
        <v>67</v>
      </c>
      <c r="D75" s="78">
        <f>D74</f>
        <v>17063024.950000003</v>
      </c>
      <c r="E75" s="79">
        <f>E74</f>
        <v>0.99999975033735156</v>
      </c>
    </row>
    <row r="76" spans="2:5">
      <c r="B76" s="14">
        <v>2</v>
      </c>
      <c r="C76" s="15" t="s">
        <v>119</v>
      </c>
      <c r="D76" s="78">
        <v>0</v>
      </c>
      <c r="E76" s="79">
        <v>0</v>
      </c>
    </row>
    <row r="77" spans="2:5" ht="13.5" thickBot="1">
      <c r="B77" s="16">
        <v>3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1.03" right="0.75" top="0.6" bottom="0.19" header="0.5" footer="0.5"/>
  <pageSetup paperSize="9" scale="70" orientation="portrait" r:id="rId1"/>
  <headerFooter alignWithMargins="0"/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1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44"/>
      <c r="C4" s="144"/>
      <c r="D4" s="144"/>
      <c r="E4" s="144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273</v>
      </c>
      <c r="C6" s="359"/>
      <c r="D6" s="359"/>
      <c r="E6" s="359"/>
    </row>
    <row r="7" spans="2:7" ht="14.25">
      <c r="B7" s="142"/>
      <c r="C7" s="142"/>
      <c r="D7" s="142"/>
      <c r="E7" s="142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43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163286.05000000002</v>
      </c>
      <c r="E11" s="244">
        <f>SUM(E12:E14)</f>
        <v>109444.67</v>
      </c>
    </row>
    <row r="12" spans="2:7">
      <c r="B12" s="174" t="s">
        <v>4</v>
      </c>
      <c r="C12" s="175" t="s">
        <v>5</v>
      </c>
      <c r="D12" s="283">
        <v>163286.05000000002</v>
      </c>
      <c r="E12" s="304">
        <f>110614.15-1169.48</f>
        <v>109444.67</v>
      </c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163286.05000000002</v>
      </c>
      <c r="E21" s="148">
        <f>E11-E17</f>
        <v>109444.67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223618.74000000002</v>
      </c>
      <c r="E26" s="231">
        <f>D21</f>
        <v>163286.05000000002</v>
      </c>
    </row>
    <row r="27" spans="2:6">
      <c r="B27" s="9" t="s">
        <v>17</v>
      </c>
      <c r="C27" s="10" t="s">
        <v>111</v>
      </c>
      <c r="D27" s="202">
        <v>-17807.48</v>
      </c>
      <c r="E27" s="224">
        <f>E28-E32</f>
        <v>-70746.98</v>
      </c>
      <c r="F27" s="71"/>
    </row>
    <row r="28" spans="2:6">
      <c r="B28" s="9" t="s">
        <v>18</v>
      </c>
      <c r="C28" s="10" t="s">
        <v>19</v>
      </c>
      <c r="D28" s="202">
        <v>21476.94</v>
      </c>
      <c r="E28" s="225">
        <v>11393.44</v>
      </c>
      <c r="F28" s="71"/>
    </row>
    <row r="29" spans="2:6">
      <c r="B29" s="182" t="s">
        <v>4</v>
      </c>
      <c r="C29" s="175" t="s">
        <v>20</v>
      </c>
      <c r="D29" s="203">
        <v>13645.14</v>
      </c>
      <c r="E29" s="226">
        <v>10610.7</v>
      </c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>
        <v>7831.8</v>
      </c>
      <c r="E31" s="226">
        <v>782.74</v>
      </c>
      <c r="F31" s="71"/>
    </row>
    <row r="32" spans="2:6">
      <c r="B32" s="92" t="s">
        <v>23</v>
      </c>
      <c r="C32" s="11" t="s">
        <v>24</v>
      </c>
      <c r="D32" s="202">
        <v>39284.42</v>
      </c>
      <c r="E32" s="225">
        <f>SUM(E33:E39)</f>
        <v>82140.42</v>
      </c>
      <c r="F32" s="71"/>
    </row>
    <row r="33" spans="2:6">
      <c r="B33" s="182" t="s">
        <v>4</v>
      </c>
      <c r="C33" s="175" t="s">
        <v>25</v>
      </c>
      <c r="D33" s="203">
        <v>18956.289999999997</v>
      </c>
      <c r="E33" s="226">
        <f>77749.92+909.55</f>
        <v>78659.47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841.65</v>
      </c>
      <c r="E35" s="226">
        <v>805.97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2992.76</v>
      </c>
      <c r="E37" s="226">
        <v>2674.98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>
        <v>16493.72</v>
      </c>
      <c r="E39" s="227"/>
      <c r="F39" s="71"/>
    </row>
    <row r="40" spans="2:6" ht="13.5" thickBot="1">
      <c r="B40" s="97" t="s">
        <v>35</v>
      </c>
      <c r="C40" s="98" t="s">
        <v>36</v>
      </c>
      <c r="D40" s="205">
        <v>-42525.21</v>
      </c>
      <c r="E40" s="232">
        <v>16905.599999999999</v>
      </c>
    </row>
    <row r="41" spans="2:6" ht="13.5" thickBot="1">
      <c r="B41" s="99" t="s">
        <v>37</v>
      </c>
      <c r="C41" s="100" t="s">
        <v>38</v>
      </c>
      <c r="D41" s="206">
        <v>163286.05000000002</v>
      </c>
      <c r="E41" s="148">
        <f>E26+E27+E40</f>
        <v>109444.67000000001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63"/>
      <c r="D43" s="363"/>
      <c r="E43" s="363"/>
    </row>
    <row r="44" spans="2:6" ht="18" customHeight="1" thickBot="1">
      <c r="B44" s="360" t="s">
        <v>121</v>
      </c>
      <c r="C44" s="364"/>
      <c r="D44" s="364"/>
      <c r="E44" s="364"/>
    </row>
    <row r="45" spans="2:6" ht="13.5" thickBot="1">
      <c r="B45" s="143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7">
        <v>2030.498</v>
      </c>
      <c r="E47" s="73">
        <v>1872.9760000000001</v>
      </c>
    </row>
    <row r="48" spans="2:6">
      <c r="B48" s="123" t="s">
        <v>6</v>
      </c>
      <c r="C48" s="22" t="s">
        <v>41</v>
      </c>
      <c r="D48" s="207">
        <v>1872.9760000000001</v>
      </c>
      <c r="E48" s="149">
        <v>1122.3943999999999</v>
      </c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02" t="s">
        <v>4</v>
      </c>
      <c r="C50" s="15" t="s">
        <v>40</v>
      </c>
      <c r="D50" s="207">
        <v>110.13</v>
      </c>
      <c r="E50" s="75">
        <v>87.18</v>
      </c>
    </row>
    <row r="51" spans="2:5">
      <c r="B51" s="102" t="s">
        <v>6</v>
      </c>
      <c r="C51" s="15" t="s">
        <v>114</v>
      </c>
      <c r="D51" s="207">
        <v>85</v>
      </c>
      <c r="E51" s="75">
        <v>86.76</v>
      </c>
    </row>
    <row r="52" spans="2:5">
      <c r="B52" s="102" t="s">
        <v>8</v>
      </c>
      <c r="C52" s="15" t="s">
        <v>115</v>
      </c>
      <c r="D52" s="207">
        <v>115.01</v>
      </c>
      <c r="E52" s="75">
        <v>99.94</v>
      </c>
    </row>
    <row r="53" spans="2:5" ht="13.5" customHeight="1" thickBot="1">
      <c r="B53" s="103" t="s">
        <v>9</v>
      </c>
      <c r="C53" s="17" t="s">
        <v>41</v>
      </c>
      <c r="D53" s="209">
        <v>87.18</v>
      </c>
      <c r="E53" s="233">
        <v>97.51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5.7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109444.67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E12</f>
        <v>109444.67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0" t="s">
        <v>64</v>
      </c>
      <c r="C74" s="121" t="s">
        <v>66</v>
      </c>
      <c r="D74" s="122">
        <f>D75</f>
        <v>109444.67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D58-D73</f>
        <v>109444.67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2"/>
  <dimension ref="A1:F81"/>
  <sheetViews>
    <sheetView zoomScale="80" zoomScaleNormal="80" workbookViewId="0">
      <selection activeCell="C38" sqref="C38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147"/>
      <c r="C4" s="147"/>
      <c r="D4" s="147"/>
      <c r="E4" s="147"/>
    </row>
    <row r="5" spans="2:5" ht="21" customHeight="1">
      <c r="B5" s="358" t="s">
        <v>1</v>
      </c>
      <c r="C5" s="358"/>
      <c r="D5" s="358"/>
      <c r="E5" s="358"/>
    </row>
    <row r="6" spans="2:5" ht="14.25">
      <c r="B6" s="359" t="s">
        <v>272</v>
      </c>
      <c r="C6" s="359"/>
      <c r="D6" s="359"/>
      <c r="E6" s="359"/>
    </row>
    <row r="7" spans="2:5" ht="14.25">
      <c r="B7" s="145"/>
      <c r="C7" s="145"/>
      <c r="D7" s="145"/>
      <c r="E7" s="145"/>
    </row>
    <row r="8" spans="2:5" ht="13.5">
      <c r="B8" s="361" t="s">
        <v>18</v>
      </c>
      <c r="C8" s="363"/>
      <c r="D8" s="363"/>
      <c r="E8" s="363"/>
    </row>
    <row r="9" spans="2:5" ht="16.5" thickBot="1">
      <c r="B9" s="360" t="s">
        <v>103</v>
      </c>
      <c r="C9" s="360"/>
      <c r="D9" s="360"/>
      <c r="E9" s="360"/>
    </row>
    <row r="10" spans="2:5" ht="13.5" thickBot="1">
      <c r="B10" s="146"/>
      <c r="C10" s="76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28" t="s">
        <v>109</v>
      </c>
      <c r="D11" s="243">
        <v>97105.64</v>
      </c>
      <c r="E11" s="244">
        <f>SUM(E12:E14)</f>
        <v>32224.639999999999</v>
      </c>
    </row>
    <row r="12" spans="2:5">
      <c r="B12" s="174" t="s">
        <v>4</v>
      </c>
      <c r="C12" s="175" t="s">
        <v>5</v>
      </c>
      <c r="D12" s="283">
        <v>97105.64</v>
      </c>
      <c r="E12" s="304">
        <f>33274.46-1049.82</f>
        <v>32224.639999999999</v>
      </c>
    </row>
    <row r="13" spans="2:5">
      <c r="B13" s="174" t="s">
        <v>6</v>
      </c>
      <c r="C13" s="176" t="s">
        <v>7</v>
      </c>
      <c r="D13" s="276"/>
      <c r="E13" s="305"/>
    </row>
    <row r="14" spans="2:5">
      <c r="B14" s="174" t="s">
        <v>8</v>
      </c>
      <c r="C14" s="176" t="s">
        <v>10</v>
      </c>
      <c r="D14" s="276"/>
      <c r="E14" s="305"/>
    </row>
    <row r="15" spans="2:5">
      <c r="B15" s="174" t="s">
        <v>106</v>
      </c>
      <c r="C15" s="176" t="s">
        <v>11</v>
      </c>
      <c r="D15" s="276"/>
      <c r="E15" s="305"/>
    </row>
    <row r="16" spans="2:5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97105.64</v>
      </c>
      <c r="E21" s="148">
        <f>E11-E17</f>
        <v>32224.639999999999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115825.60000000001</v>
      </c>
      <c r="E26" s="231">
        <f>D21</f>
        <v>97105.64</v>
      </c>
    </row>
    <row r="27" spans="2:6">
      <c r="B27" s="9" t="s">
        <v>17</v>
      </c>
      <c r="C27" s="10" t="s">
        <v>111</v>
      </c>
      <c r="D27" s="202">
        <v>-2053.09</v>
      </c>
      <c r="E27" s="224">
        <f>E28-E32</f>
        <v>-71053.289999999994</v>
      </c>
      <c r="F27" s="71"/>
    </row>
    <row r="28" spans="2:6">
      <c r="B28" s="9" t="s">
        <v>18</v>
      </c>
      <c r="C28" s="10" t="s">
        <v>19</v>
      </c>
      <c r="D28" s="202">
        <v>32662.13</v>
      </c>
      <c r="E28" s="225">
        <v>11321.77</v>
      </c>
      <c r="F28" s="71"/>
    </row>
    <row r="29" spans="2:6">
      <c r="B29" s="182" t="s">
        <v>4</v>
      </c>
      <c r="C29" s="175" t="s">
        <v>20</v>
      </c>
      <c r="D29" s="203">
        <v>6472.25</v>
      </c>
      <c r="E29" s="226">
        <v>5858.35</v>
      </c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>
        <v>26189.88</v>
      </c>
      <c r="E31" s="226">
        <v>5463.4199999999901</v>
      </c>
      <c r="F31" s="71"/>
    </row>
    <row r="32" spans="2:6">
      <c r="B32" s="92" t="s">
        <v>23</v>
      </c>
      <c r="C32" s="11" t="s">
        <v>24</v>
      </c>
      <c r="D32" s="202">
        <v>34715.22</v>
      </c>
      <c r="E32" s="225">
        <f>SUM(E33:E39)</f>
        <v>82375.06</v>
      </c>
      <c r="F32" s="71"/>
    </row>
    <row r="33" spans="2:6">
      <c r="B33" s="182" t="s">
        <v>4</v>
      </c>
      <c r="C33" s="175" t="s">
        <v>25</v>
      </c>
      <c r="D33" s="203">
        <v>4690.99</v>
      </c>
      <c r="E33" s="226">
        <f>64456.65+895.48</f>
        <v>65352.130000000005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619.19000000000005</v>
      </c>
      <c r="E35" s="226">
        <v>506.55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674.7</v>
      </c>
      <c r="E37" s="226">
        <v>9293.5400000000009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>
        <v>28730.34</v>
      </c>
      <c r="E39" s="227">
        <v>7222.84</v>
      </c>
      <c r="F39" s="71"/>
    </row>
    <row r="40" spans="2:6" ht="13.5" thickBot="1">
      <c r="B40" s="97" t="s">
        <v>35</v>
      </c>
      <c r="C40" s="98" t="s">
        <v>36</v>
      </c>
      <c r="D40" s="205">
        <v>-16666.87</v>
      </c>
      <c r="E40" s="232">
        <v>6172.29</v>
      </c>
    </row>
    <row r="41" spans="2:6" ht="13.5" thickBot="1">
      <c r="B41" s="99" t="s">
        <v>37</v>
      </c>
      <c r="C41" s="100" t="s">
        <v>38</v>
      </c>
      <c r="D41" s="206">
        <v>97105.640000000014</v>
      </c>
      <c r="E41" s="148">
        <f>E26+E27+E40</f>
        <v>32224.640000000007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865.79160000000002</v>
      </c>
      <c r="E47" s="73">
        <v>836.97329999999999</v>
      </c>
    </row>
    <row r="48" spans="2:6">
      <c r="B48" s="187" t="s">
        <v>6</v>
      </c>
      <c r="C48" s="188" t="s">
        <v>41</v>
      </c>
      <c r="D48" s="207">
        <v>836.97329999999999</v>
      </c>
      <c r="E48" s="149">
        <v>249.0119</v>
      </c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85" t="s">
        <v>4</v>
      </c>
      <c r="C50" s="186" t="s">
        <v>40</v>
      </c>
      <c r="D50" s="207">
        <v>133.78</v>
      </c>
      <c r="E50" s="75">
        <v>116.02</v>
      </c>
    </row>
    <row r="51" spans="2:5">
      <c r="B51" s="185" t="s">
        <v>6</v>
      </c>
      <c r="C51" s="186" t="s">
        <v>114</v>
      </c>
      <c r="D51" s="207">
        <v>115.58</v>
      </c>
      <c r="E51" s="75">
        <v>115.37</v>
      </c>
    </row>
    <row r="52" spans="2:5">
      <c r="B52" s="185" t="s">
        <v>8</v>
      </c>
      <c r="C52" s="186" t="s">
        <v>115</v>
      </c>
      <c r="D52" s="207">
        <v>139.91999999999999</v>
      </c>
      <c r="E52" s="75">
        <v>129.41</v>
      </c>
    </row>
    <row r="53" spans="2:5" ht="13.5" customHeight="1" thickBot="1">
      <c r="B53" s="189" t="s">
        <v>9</v>
      </c>
      <c r="C53" s="190" t="s">
        <v>41</v>
      </c>
      <c r="D53" s="209">
        <v>116.02</v>
      </c>
      <c r="E53" s="233">
        <v>129.41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5.7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32224.639999999999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3.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32224.639999999999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32224.639999999999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32224.639999999999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1" right="0.75" top="0.56999999999999995" bottom="0.55000000000000004" header="0.5" footer="0.5"/>
  <pageSetup paperSize="9" scale="70" orientation="portrait" r:id="rId1"/>
  <headerFooter alignWithMargins="0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3"/>
  <dimension ref="A1:G81"/>
  <sheetViews>
    <sheetView zoomScale="80" zoomScaleNormal="80" workbookViewId="0">
      <selection activeCell="K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47"/>
      <c r="C4" s="147"/>
      <c r="D4" s="147"/>
      <c r="E4" s="147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274</v>
      </c>
      <c r="C6" s="359"/>
      <c r="D6" s="359"/>
      <c r="E6" s="359"/>
    </row>
    <row r="7" spans="2:7" ht="14.25">
      <c r="B7" s="145"/>
      <c r="C7" s="145"/>
      <c r="D7" s="145"/>
      <c r="E7" s="145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46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76861.98</v>
      </c>
      <c r="E11" s="244">
        <f>SUM(E12:E14)</f>
        <v>75863.44</v>
      </c>
    </row>
    <row r="12" spans="2:7">
      <c r="B12" s="174" t="s">
        <v>4</v>
      </c>
      <c r="C12" s="175" t="s">
        <v>5</v>
      </c>
      <c r="D12" s="283">
        <v>76861.98</v>
      </c>
      <c r="E12" s="304">
        <v>75863.44</v>
      </c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76861.98</v>
      </c>
      <c r="E21" s="148">
        <f>E11-E17</f>
        <v>75863.44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90376.75</v>
      </c>
      <c r="E26" s="231">
        <f>D21</f>
        <v>76861.98</v>
      </c>
    </row>
    <row r="27" spans="2:6">
      <c r="B27" s="9" t="s">
        <v>17</v>
      </c>
      <c r="C27" s="10" t="s">
        <v>111</v>
      </c>
      <c r="D27" s="202">
        <v>-1586.75</v>
      </c>
      <c r="E27" s="224">
        <v>-3854.81</v>
      </c>
      <c r="F27" s="71"/>
    </row>
    <row r="28" spans="2:6">
      <c r="B28" s="9" t="s">
        <v>18</v>
      </c>
      <c r="C28" s="10" t="s">
        <v>19</v>
      </c>
      <c r="D28" s="202">
        <v>0</v>
      </c>
      <c r="E28" s="225">
        <v>0</v>
      </c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/>
      <c r="E31" s="226"/>
      <c r="F31" s="71"/>
    </row>
    <row r="32" spans="2:6">
      <c r="B32" s="92" t="s">
        <v>23</v>
      </c>
      <c r="C32" s="11" t="s">
        <v>24</v>
      </c>
      <c r="D32" s="202">
        <v>1586.75</v>
      </c>
      <c r="E32" s="225">
        <v>3854.81</v>
      </c>
      <c r="F32" s="71"/>
    </row>
    <row r="33" spans="2:6">
      <c r="B33" s="182" t="s">
        <v>4</v>
      </c>
      <c r="C33" s="175" t="s">
        <v>25</v>
      </c>
      <c r="D33" s="203"/>
      <c r="E33" s="226">
        <v>2384.0500000000002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137.07</v>
      </c>
      <c r="E35" s="226">
        <v>143.76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1449.68</v>
      </c>
      <c r="E37" s="226">
        <v>1327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/>
      <c r="E39" s="227"/>
      <c r="F39" s="71"/>
    </row>
    <row r="40" spans="2:6" ht="13.5" thickBot="1">
      <c r="B40" s="97" t="s">
        <v>35</v>
      </c>
      <c r="C40" s="98" t="s">
        <v>36</v>
      </c>
      <c r="D40" s="205">
        <v>-11928.02</v>
      </c>
      <c r="E40" s="232">
        <v>2856.27</v>
      </c>
    </row>
    <row r="41" spans="2:6" ht="13.5" thickBot="1">
      <c r="B41" s="99" t="s">
        <v>37</v>
      </c>
      <c r="C41" s="100" t="s">
        <v>38</v>
      </c>
      <c r="D41" s="206">
        <v>76861.98</v>
      </c>
      <c r="E41" s="148">
        <f>E26+E27+E40</f>
        <v>75863.44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776.56600000000003</v>
      </c>
      <c r="E47" s="73">
        <v>762.14160000000004</v>
      </c>
    </row>
    <row r="48" spans="2:6">
      <c r="B48" s="187" t="s">
        <v>6</v>
      </c>
      <c r="C48" s="188" t="s">
        <v>41</v>
      </c>
      <c r="D48" s="207">
        <v>762.14160000000004</v>
      </c>
      <c r="E48" s="149">
        <v>724.37159999999994</v>
      </c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85" t="s">
        <v>4</v>
      </c>
      <c r="C50" s="186" t="s">
        <v>40</v>
      </c>
      <c r="D50" s="207">
        <v>116.38</v>
      </c>
      <c r="E50" s="75">
        <v>100.85</v>
      </c>
    </row>
    <row r="51" spans="2:5">
      <c r="B51" s="185" t="s">
        <v>6</v>
      </c>
      <c r="C51" s="186" t="s">
        <v>114</v>
      </c>
      <c r="D51" s="207">
        <v>98.1</v>
      </c>
      <c r="E51" s="75">
        <v>99.88</v>
      </c>
    </row>
    <row r="52" spans="2:5">
      <c r="B52" s="185" t="s">
        <v>8</v>
      </c>
      <c r="C52" s="186" t="s">
        <v>115</v>
      </c>
      <c r="D52" s="207">
        <v>121.62</v>
      </c>
      <c r="E52" s="75">
        <v>108.25</v>
      </c>
    </row>
    <row r="53" spans="2:5" ht="12.75" customHeight="1" thickBot="1">
      <c r="B53" s="189" t="s">
        <v>9</v>
      </c>
      <c r="C53" s="190" t="s">
        <v>41</v>
      </c>
      <c r="D53" s="209">
        <v>100.85</v>
      </c>
      <c r="E53" s="233">
        <v>104.73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7.2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75863.44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3.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75863.44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75863.44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75863.44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6000000000000005" right="0.75" top="0.55000000000000004" bottom="0.52" header="0.5" footer="0.5"/>
  <pageSetup paperSize="9" scale="70" orientation="portrait" r:id="rId1"/>
  <headerFooter alignWithMargins="0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4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47"/>
      <c r="C4" s="147"/>
      <c r="D4" s="147"/>
      <c r="E4" s="147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275</v>
      </c>
      <c r="C6" s="359"/>
      <c r="D6" s="359"/>
      <c r="E6" s="359"/>
    </row>
    <row r="7" spans="2:7" ht="14.25">
      <c r="B7" s="145"/>
      <c r="C7" s="145"/>
      <c r="D7" s="145"/>
      <c r="E7" s="145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46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375341.18</v>
      </c>
      <c r="E11" s="244">
        <f>SUM(E12:E14)</f>
        <v>110148.53</v>
      </c>
    </row>
    <row r="12" spans="2:7">
      <c r="B12" s="174" t="s">
        <v>4</v>
      </c>
      <c r="C12" s="175" t="s">
        <v>5</v>
      </c>
      <c r="D12" s="283">
        <v>375341.18</v>
      </c>
      <c r="E12" s="304">
        <v>110148.53</v>
      </c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375341.18</v>
      </c>
      <c r="E21" s="148">
        <f>E11-E17</f>
        <v>110148.53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565749.92000000004</v>
      </c>
      <c r="E26" s="231">
        <f>D21</f>
        <v>375341.18</v>
      </c>
    </row>
    <row r="27" spans="2:6">
      <c r="B27" s="9" t="s">
        <v>17</v>
      </c>
      <c r="C27" s="10" t="s">
        <v>111</v>
      </c>
      <c r="D27" s="202">
        <v>-121876.33</v>
      </c>
      <c r="E27" s="224">
        <v>-274874.21000000002</v>
      </c>
      <c r="F27" s="71"/>
    </row>
    <row r="28" spans="2:6">
      <c r="B28" s="9" t="s">
        <v>18</v>
      </c>
      <c r="C28" s="10" t="s">
        <v>19</v>
      </c>
      <c r="D28" s="202">
        <v>4002.14</v>
      </c>
      <c r="E28" s="225">
        <v>4015.47</v>
      </c>
      <c r="F28" s="71"/>
    </row>
    <row r="29" spans="2:6">
      <c r="B29" s="182" t="s">
        <v>4</v>
      </c>
      <c r="C29" s="175" t="s">
        <v>20</v>
      </c>
      <c r="D29" s="203">
        <v>4002.14</v>
      </c>
      <c r="E29" s="226">
        <v>3874.87</v>
      </c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/>
      <c r="E31" s="226">
        <v>140.6</v>
      </c>
      <c r="F31" s="71"/>
    </row>
    <row r="32" spans="2:6">
      <c r="B32" s="92" t="s">
        <v>23</v>
      </c>
      <c r="C32" s="11" t="s">
        <v>24</v>
      </c>
      <c r="D32" s="202">
        <v>125878.47</v>
      </c>
      <c r="E32" s="225">
        <v>278889.67999999993</v>
      </c>
      <c r="F32" s="71"/>
    </row>
    <row r="33" spans="2:6">
      <c r="B33" s="182" t="s">
        <v>4</v>
      </c>
      <c r="C33" s="175" t="s">
        <v>25</v>
      </c>
      <c r="D33" s="203">
        <v>92244.56</v>
      </c>
      <c r="E33" s="226">
        <v>274535.98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840.86</v>
      </c>
      <c r="E35" s="226">
        <v>448.47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7474</v>
      </c>
      <c r="E37" s="226">
        <v>3703.81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>
        <v>25319.05</v>
      </c>
      <c r="E39" s="227">
        <v>201.42</v>
      </c>
      <c r="F39" s="71"/>
    </row>
    <row r="40" spans="2:6" ht="13.5" thickBot="1">
      <c r="B40" s="97" t="s">
        <v>35</v>
      </c>
      <c r="C40" s="98" t="s">
        <v>36</v>
      </c>
      <c r="D40" s="205">
        <v>-68532.41</v>
      </c>
      <c r="E40" s="232">
        <v>9681.56</v>
      </c>
    </row>
    <row r="41" spans="2:6" ht="13.5" thickBot="1">
      <c r="B41" s="99" t="s">
        <v>37</v>
      </c>
      <c r="C41" s="100" t="s">
        <v>38</v>
      </c>
      <c r="D41" s="206">
        <v>375341.18000000005</v>
      </c>
      <c r="E41" s="148">
        <f>E26+E27+E40</f>
        <v>110148.52999999997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2369.4346999999998</v>
      </c>
      <c r="E47" s="73">
        <v>1823.2837</v>
      </c>
    </row>
    <row r="48" spans="2:6">
      <c r="B48" s="187" t="s">
        <v>6</v>
      </c>
      <c r="C48" s="188" t="s">
        <v>41</v>
      </c>
      <c r="D48" s="207">
        <v>1823.2837</v>
      </c>
      <c r="E48" s="149">
        <v>540.68589999999995</v>
      </c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85" t="s">
        <v>4</v>
      </c>
      <c r="C50" s="186" t="s">
        <v>40</v>
      </c>
      <c r="D50" s="207">
        <v>238.77</v>
      </c>
      <c r="E50" s="75">
        <v>205.86</v>
      </c>
    </row>
    <row r="51" spans="2:5">
      <c r="B51" s="185" t="s">
        <v>6</v>
      </c>
      <c r="C51" s="186" t="s">
        <v>114</v>
      </c>
      <c r="D51" s="207">
        <v>198.05</v>
      </c>
      <c r="E51" s="75">
        <v>195.72</v>
      </c>
    </row>
    <row r="52" spans="2:5">
      <c r="B52" s="185" t="s">
        <v>8</v>
      </c>
      <c r="C52" s="186" t="s">
        <v>115</v>
      </c>
      <c r="D52" s="207">
        <v>251.45</v>
      </c>
      <c r="E52" s="75">
        <v>220.15</v>
      </c>
    </row>
    <row r="53" spans="2:5" ht="13.5" customHeight="1" thickBot="1">
      <c r="B53" s="189" t="s">
        <v>9</v>
      </c>
      <c r="C53" s="190" t="s">
        <v>41</v>
      </c>
      <c r="D53" s="209">
        <v>205.86</v>
      </c>
      <c r="E53" s="233">
        <v>203.72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6.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110148.53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110148.53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110148.53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110148.53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3" right="0.75" top="0.52" bottom="0.68" header="0.5" footer="0.5"/>
  <pageSetup paperSize="9" scale="70" orientation="portrait" r:id="rId1"/>
  <headerFooter alignWithMargins="0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5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47"/>
      <c r="C4" s="147"/>
      <c r="D4" s="147"/>
      <c r="E4" s="147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276</v>
      </c>
      <c r="C6" s="359"/>
      <c r="D6" s="359"/>
      <c r="E6" s="359"/>
    </row>
    <row r="7" spans="2:7" ht="14.25">
      <c r="B7" s="145"/>
      <c r="C7" s="145"/>
      <c r="D7" s="145"/>
      <c r="E7" s="145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46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326312.65999999997</v>
      </c>
      <c r="E11" s="244">
        <f>SUM(E12:E14)</f>
        <v>264319.95</v>
      </c>
    </row>
    <row r="12" spans="2:7">
      <c r="B12" s="174" t="s">
        <v>4</v>
      </c>
      <c r="C12" s="175" t="s">
        <v>5</v>
      </c>
      <c r="D12" s="283">
        <v>326312.65999999997</v>
      </c>
      <c r="E12" s="304">
        <f>264531.51-211.56</f>
        <v>264319.95</v>
      </c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326312.65999999997</v>
      </c>
      <c r="E21" s="148">
        <f>E11-E17</f>
        <v>264319.95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686021.21</v>
      </c>
      <c r="E26" s="231">
        <f>D21</f>
        <v>326312.65999999997</v>
      </c>
    </row>
    <row r="27" spans="2:6">
      <c r="B27" s="9" t="s">
        <v>17</v>
      </c>
      <c r="C27" s="10" t="s">
        <v>111</v>
      </c>
      <c r="D27" s="202">
        <v>-366514.74</v>
      </c>
      <c r="E27" s="224">
        <f>E28-E32</f>
        <v>-74180.209999999992</v>
      </c>
      <c r="F27" s="71"/>
    </row>
    <row r="28" spans="2:6">
      <c r="B28" s="9" t="s">
        <v>18</v>
      </c>
      <c r="C28" s="10" t="s">
        <v>19</v>
      </c>
      <c r="D28" s="202">
        <v>24792.080000000002</v>
      </c>
      <c r="E28" s="225">
        <v>28641.64</v>
      </c>
      <c r="F28" s="71"/>
    </row>
    <row r="29" spans="2:6">
      <c r="B29" s="182" t="s">
        <v>4</v>
      </c>
      <c r="C29" s="175" t="s">
        <v>20</v>
      </c>
      <c r="D29" s="203">
        <v>9196.34</v>
      </c>
      <c r="E29" s="226">
        <v>10342.85</v>
      </c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>
        <v>15595.74</v>
      </c>
      <c r="E31" s="226">
        <v>18298.79</v>
      </c>
      <c r="F31" s="71"/>
    </row>
    <row r="32" spans="2:6">
      <c r="B32" s="92" t="s">
        <v>23</v>
      </c>
      <c r="C32" s="11" t="s">
        <v>24</v>
      </c>
      <c r="D32" s="202">
        <v>391306.82</v>
      </c>
      <c r="E32" s="225">
        <f>SUM(E33:E39)</f>
        <v>102821.84999999999</v>
      </c>
      <c r="F32" s="71"/>
    </row>
    <row r="33" spans="2:6">
      <c r="B33" s="182" t="s">
        <v>4</v>
      </c>
      <c r="C33" s="175" t="s">
        <v>25</v>
      </c>
      <c r="D33" s="203">
        <v>367512.11</v>
      </c>
      <c r="E33" s="226">
        <f>75477.98+8.72</f>
        <v>75486.7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1390.8</v>
      </c>
      <c r="E35" s="226">
        <v>1364.37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8223.01</v>
      </c>
      <c r="E37" s="226">
        <v>10688.65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>
        <v>14180.9</v>
      </c>
      <c r="E39" s="227">
        <v>15282.13</v>
      </c>
      <c r="F39" s="71"/>
    </row>
    <row r="40" spans="2:6" ht="13.5" thickBot="1">
      <c r="B40" s="97" t="s">
        <v>35</v>
      </c>
      <c r="C40" s="98" t="s">
        <v>36</v>
      </c>
      <c r="D40" s="205">
        <v>6806.19</v>
      </c>
      <c r="E40" s="232">
        <v>12187.5</v>
      </c>
    </row>
    <row r="41" spans="2:6" ht="13.5" thickBot="1">
      <c r="B41" s="99" t="s">
        <v>37</v>
      </c>
      <c r="C41" s="100" t="s">
        <v>38</v>
      </c>
      <c r="D41" s="206">
        <v>326312.65999999997</v>
      </c>
      <c r="E41" s="148">
        <f>E26+E27+E40</f>
        <v>264319.94999999995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63"/>
      <c r="D43" s="363"/>
      <c r="E43" s="363"/>
    </row>
    <row r="44" spans="2:6" ht="18" customHeight="1" thickBot="1">
      <c r="B44" s="360" t="s">
        <v>121</v>
      </c>
      <c r="C44" s="364"/>
      <c r="D44" s="364"/>
      <c r="E44" s="364"/>
    </row>
    <row r="45" spans="2:6" ht="13.5" thickBot="1">
      <c r="B45" s="146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7">
        <v>1983.3508099999999</v>
      </c>
      <c r="E47" s="73">
        <v>923.71811000000002</v>
      </c>
    </row>
    <row r="48" spans="2:6">
      <c r="B48" s="123" t="s">
        <v>6</v>
      </c>
      <c r="C48" s="22" t="s">
        <v>41</v>
      </c>
      <c r="D48" s="207">
        <v>923.71811000000002</v>
      </c>
      <c r="E48" s="149">
        <v>717.38350000000003</v>
      </c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02" t="s">
        <v>4</v>
      </c>
      <c r="C50" s="15" t="s">
        <v>40</v>
      </c>
      <c r="D50" s="207">
        <v>345.89</v>
      </c>
      <c r="E50" s="75">
        <v>353.26</v>
      </c>
    </row>
    <row r="51" spans="2:5">
      <c r="B51" s="102" t="s">
        <v>6</v>
      </c>
      <c r="C51" s="15" t="s">
        <v>114</v>
      </c>
      <c r="D51" s="207">
        <v>343.49</v>
      </c>
      <c r="E51" s="75">
        <v>352.17</v>
      </c>
    </row>
    <row r="52" spans="2:5">
      <c r="B52" s="102" t="s">
        <v>8</v>
      </c>
      <c r="C52" s="15" t="s">
        <v>115</v>
      </c>
      <c r="D52" s="207">
        <v>353.69</v>
      </c>
      <c r="E52" s="75">
        <v>369.66</v>
      </c>
    </row>
    <row r="53" spans="2:5" ht="13.5" customHeight="1" thickBot="1">
      <c r="B53" s="103" t="s">
        <v>9</v>
      </c>
      <c r="C53" s="17" t="s">
        <v>41</v>
      </c>
      <c r="D53" s="209">
        <v>353.26</v>
      </c>
      <c r="E53" s="233">
        <v>368.45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5.7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264319.95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E12</f>
        <v>264319.95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0" t="s">
        <v>64</v>
      </c>
      <c r="C74" s="121" t="s">
        <v>66</v>
      </c>
      <c r="D74" s="122">
        <f>D58-D73</f>
        <v>264319.95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264319.95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6"/>
  <dimension ref="A1:F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147"/>
      <c r="C4" s="147"/>
      <c r="D4" s="147"/>
      <c r="E4" s="147"/>
    </row>
    <row r="5" spans="2:5" ht="21" customHeight="1">
      <c r="B5" s="358" t="s">
        <v>1</v>
      </c>
      <c r="C5" s="358"/>
      <c r="D5" s="358"/>
      <c r="E5" s="358"/>
    </row>
    <row r="6" spans="2:5" ht="14.25">
      <c r="B6" s="359" t="s">
        <v>277</v>
      </c>
      <c r="C6" s="359"/>
      <c r="D6" s="359"/>
      <c r="E6" s="359"/>
    </row>
    <row r="7" spans="2:5" ht="14.25">
      <c r="B7" s="145"/>
      <c r="C7" s="145"/>
      <c r="D7" s="145"/>
      <c r="E7" s="145"/>
    </row>
    <row r="8" spans="2:5" ht="13.5">
      <c r="B8" s="361" t="s">
        <v>18</v>
      </c>
      <c r="C8" s="363"/>
      <c r="D8" s="363"/>
      <c r="E8" s="363"/>
    </row>
    <row r="9" spans="2:5" ht="16.5" thickBot="1">
      <c r="B9" s="360" t="s">
        <v>103</v>
      </c>
      <c r="C9" s="360"/>
      <c r="D9" s="360"/>
      <c r="E9" s="360"/>
    </row>
    <row r="10" spans="2:5" ht="13.5" thickBot="1">
      <c r="B10" s="146"/>
      <c r="C10" s="76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28" t="s">
        <v>109</v>
      </c>
      <c r="D11" s="243">
        <v>148305.16999999998</v>
      </c>
      <c r="E11" s="244">
        <f>SUM(E12:E14)</f>
        <v>120943.93</v>
      </c>
    </row>
    <row r="12" spans="2:5">
      <c r="B12" s="174" t="s">
        <v>4</v>
      </c>
      <c r="C12" s="175" t="s">
        <v>5</v>
      </c>
      <c r="D12" s="283">
        <v>148305.16999999998</v>
      </c>
      <c r="E12" s="304">
        <f>121061.73-117.8</f>
        <v>120943.93</v>
      </c>
    </row>
    <row r="13" spans="2:5">
      <c r="B13" s="174" t="s">
        <v>6</v>
      </c>
      <c r="C13" s="176" t="s">
        <v>7</v>
      </c>
      <c r="D13" s="276"/>
      <c r="E13" s="305"/>
    </row>
    <row r="14" spans="2:5">
      <c r="B14" s="174" t="s">
        <v>8</v>
      </c>
      <c r="C14" s="176" t="s">
        <v>10</v>
      </c>
      <c r="D14" s="276"/>
      <c r="E14" s="305"/>
    </row>
    <row r="15" spans="2:5">
      <c r="B15" s="174" t="s">
        <v>106</v>
      </c>
      <c r="C15" s="176" t="s">
        <v>11</v>
      </c>
      <c r="D15" s="276"/>
      <c r="E15" s="305"/>
    </row>
    <row r="16" spans="2:5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148305.16999999998</v>
      </c>
      <c r="E21" s="148">
        <f>E11-E17</f>
        <v>120943.93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247940.58</v>
      </c>
      <c r="E26" s="231">
        <f>D21</f>
        <v>148305.16999999998</v>
      </c>
    </row>
    <row r="27" spans="2:6">
      <c r="B27" s="9" t="s">
        <v>17</v>
      </c>
      <c r="C27" s="10" t="s">
        <v>111</v>
      </c>
      <c r="D27" s="202">
        <v>-103286.59999999999</v>
      </c>
      <c r="E27" s="224">
        <f>E28-E32</f>
        <v>-33374.01999999999</v>
      </c>
      <c r="F27" s="71"/>
    </row>
    <row r="28" spans="2:6">
      <c r="B28" s="9" t="s">
        <v>18</v>
      </c>
      <c r="C28" s="10" t="s">
        <v>19</v>
      </c>
      <c r="D28" s="202">
        <v>99531.76</v>
      </c>
      <c r="E28" s="225">
        <v>186153.64</v>
      </c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>
        <v>99531.76</v>
      </c>
      <c r="E31" s="226">
        <v>186153.64</v>
      </c>
      <c r="F31" s="71"/>
    </row>
    <row r="32" spans="2:6">
      <c r="B32" s="92" t="s">
        <v>23</v>
      </c>
      <c r="C32" s="11" t="s">
        <v>24</v>
      </c>
      <c r="D32" s="202">
        <v>202818.36</v>
      </c>
      <c r="E32" s="225">
        <f>SUM(E33:E39)</f>
        <v>219527.66</v>
      </c>
      <c r="F32" s="71"/>
    </row>
    <row r="33" spans="2:6">
      <c r="B33" s="182" t="s">
        <v>4</v>
      </c>
      <c r="C33" s="175" t="s">
        <v>25</v>
      </c>
      <c r="D33" s="203">
        <v>66893.2</v>
      </c>
      <c r="E33" s="226">
        <f>218387.23-2495.09</f>
        <v>215892.14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380.92</v>
      </c>
      <c r="E35" s="226">
        <v>243.78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3523.65</v>
      </c>
      <c r="E37" s="226">
        <v>3391.74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>
        <v>132020.59</v>
      </c>
      <c r="E39" s="227"/>
      <c r="F39" s="71"/>
    </row>
    <row r="40" spans="2:6" ht="13.5" thickBot="1">
      <c r="B40" s="97" t="s">
        <v>35</v>
      </c>
      <c r="C40" s="98" t="s">
        <v>36</v>
      </c>
      <c r="D40" s="205">
        <v>3651.19</v>
      </c>
      <c r="E40" s="232">
        <v>6012.78</v>
      </c>
    </row>
    <row r="41" spans="2:6" ht="13.5" thickBot="1">
      <c r="B41" s="99" t="s">
        <v>37</v>
      </c>
      <c r="C41" s="100" t="s">
        <v>38</v>
      </c>
      <c r="D41" s="206">
        <v>148305.16999999998</v>
      </c>
      <c r="E41" s="148">
        <f>E26+E27+E40</f>
        <v>120943.93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63"/>
      <c r="D43" s="363"/>
      <c r="E43" s="363"/>
    </row>
    <row r="44" spans="2:6" ht="18" customHeight="1" thickBot="1">
      <c r="B44" s="360" t="s">
        <v>121</v>
      </c>
      <c r="C44" s="364"/>
      <c r="D44" s="364"/>
      <c r="E44" s="364"/>
    </row>
    <row r="45" spans="2:6" ht="13.5" thickBot="1">
      <c r="B45" s="146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7">
        <v>1145.5780999999999</v>
      </c>
      <c r="E47" s="73">
        <v>671.85452999999995</v>
      </c>
    </row>
    <row r="48" spans="2:6">
      <c r="B48" s="123" t="s">
        <v>6</v>
      </c>
      <c r="C48" s="22" t="s">
        <v>41</v>
      </c>
      <c r="D48" s="207">
        <v>671.85452999999995</v>
      </c>
      <c r="E48" s="149">
        <v>528.41630000000009</v>
      </c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02" t="s">
        <v>4</v>
      </c>
      <c r="C50" s="15" t="s">
        <v>40</v>
      </c>
      <c r="D50" s="207">
        <v>216.53</v>
      </c>
      <c r="E50" s="75">
        <v>220.74</v>
      </c>
    </row>
    <row r="51" spans="2:5">
      <c r="B51" s="102" t="s">
        <v>6</v>
      </c>
      <c r="C51" s="15" t="s">
        <v>114</v>
      </c>
      <c r="D51" s="207">
        <v>216.53</v>
      </c>
      <c r="E51" s="75">
        <v>220.52</v>
      </c>
    </row>
    <row r="52" spans="2:5">
      <c r="B52" s="102" t="s">
        <v>8</v>
      </c>
      <c r="C52" s="15" t="s">
        <v>115</v>
      </c>
      <c r="D52" s="207">
        <v>220.98</v>
      </c>
      <c r="E52" s="75">
        <v>228.88</v>
      </c>
    </row>
    <row r="53" spans="2:5" ht="14.25" customHeight="1" thickBot="1">
      <c r="B53" s="103" t="s">
        <v>9</v>
      </c>
      <c r="C53" s="17" t="s">
        <v>41</v>
      </c>
      <c r="D53" s="209">
        <v>220.74</v>
      </c>
      <c r="E53" s="233">
        <v>228.88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7.2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120943.93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E12</f>
        <v>120943.93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f>E17</f>
        <v>0</v>
      </c>
      <c r="E73" s="81">
        <f>D73/E21</f>
        <v>0</v>
      </c>
    </row>
    <row r="74" spans="2:5">
      <c r="B74" s="130" t="s">
        <v>64</v>
      </c>
      <c r="C74" s="121" t="s">
        <v>66</v>
      </c>
      <c r="D74" s="122">
        <f>D58-D73</f>
        <v>120943.93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120943.93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5000000000000004" right="0.75" top="0.61" bottom="0.6" header="0.5" footer="0.5"/>
  <pageSetup paperSize="9" scale="70" orientation="portrait" r:id="rId1"/>
  <headerFooter alignWithMargins="0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7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47"/>
      <c r="C4" s="147"/>
      <c r="D4" s="147"/>
      <c r="E4" s="147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278</v>
      </c>
      <c r="C6" s="359"/>
      <c r="D6" s="359"/>
      <c r="E6" s="359"/>
    </row>
    <row r="7" spans="2:7" ht="14.25">
      <c r="B7" s="145"/>
      <c r="C7" s="145"/>
      <c r="D7" s="145"/>
      <c r="E7" s="145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46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140492.79</v>
      </c>
      <c r="E11" s="244">
        <f>SUM(E12:E14)</f>
        <v>104410.36</v>
      </c>
    </row>
    <row r="12" spans="2:7">
      <c r="B12" s="174" t="s">
        <v>4</v>
      </c>
      <c r="C12" s="175" t="s">
        <v>5</v>
      </c>
      <c r="D12" s="283">
        <v>140492.79</v>
      </c>
      <c r="E12" s="304">
        <f>104890.94-480.58</f>
        <v>104410.36</v>
      </c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140492.79</v>
      </c>
      <c r="E21" s="148">
        <f>E11-E17</f>
        <v>104410.36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150486.65</v>
      </c>
      <c r="E26" s="231">
        <f>D21</f>
        <v>140492.79</v>
      </c>
    </row>
    <row r="27" spans="2:6">
      <c r="B27" s="9" t="s">
        <v>17</v>
      </c>
      <c r="C27" s="10" t="s">
        <v>111</v>
      </c>
      <c r="D27" s="202">
        <v>-486.2599999999984</v>
      </c>
      <c r="E27" s="224">
        <f>E28-E32</f>
        <v>-44999.05000000001</v>
      </c>
      <c r="F27" s="71"/>
    </row>
    <row r="28" spans="2:6">
      <c r="B28" s="9" t="s">
        <v>18</v>
      </c>
      <c r="C28" s="10" t="s">
        <v>19</v>
      </c>
      <c r="D28" s="202">
        <v>10329.67</v>
      </c>
      <c r="E28" s="225">
        <v>9356.5300000000007</v>
      </c>
      <c r="F28" s="71"/>
    </row>
    <row r="29" spans="2:6">
      <c r="B29" s="182" t="s">
        <v>4</v>
      </c>
      <c r="C29" s="175" t="s">
        <v>20</v>
      </c>
      <c r="D29" s="203">
        <v>9556.5400000000009</v>
      </c>
      <c r="E29" s="226">
        <v>9356.5300000000007</v>
      </c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>
        <v>773.13</v>
      </c>
      <c r="E31" s="226"/>
      <c r="F31" s="71"/>
    </row>
    <row r="32" spans="2:6">
      <c r="B32" s="92" t="s">
        <v>23</v>
      </c>
      <c r="C32" s="11" t="s">
        <v>24</v>
      </c>
      <c r="D32" s="202">
        <v>10815.929999999998</v>
      </c>
      <c r="E32" s="225">
        <f>SUM(E33:E39)</f>
        <v>54355.580000000009</v>
      </c>
      <c r="F32" s="71"/>
    </row>
    <row r="33" spans="2:6">
      <c r="B33" s="182" t="s">
        <v>4</v>
      </c>
      <c r="C33" s="175" t="s">
        <v>25</v>
      </c>
      <c r="D33" s="203">
        <v>6942.94</v>
      </c>
      <c r="E33" s="226">
        <f>51603.94-2250.38</f>
        <v>49353.560000000005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584.69000000000005</v>
      </c>
      <c r="E35" s="226">
        <v>458.52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1771.63</v>
      </c>
      <c r="E37" s="226">
        <v>4543.5000000000073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>
        <v>1516.67</v>
      </c>
      <c r="E39" s="227"/>
      <c r="F39" s="71"/>
    </row>
    <row r="40" spans="2:6" ht="13.5" thickBot="1">
      <c r="B40" s="97" t="s">
        <v>35</v>
      </c>
      <c r="C40" s="98" t="s">
        <v>36</v>
      </c>
      <c r="D40" s="205">
        <v>-9507.6</v>
      </c>
      <c r="E40" s="232">
        <v>8916.6200000000008</v>
      </c>
    </row>
    <row r="41" spans="2:6" ht="13.5" thickBot="1">
      <c r="B41" s="99" t="s">
        <v>37</v>
      </c>
      <c r="C41" s="100" t="s">
        <v>38</v>
      </c>
      <c r="D41" s="206">
        <v>140492.78999999998</v>
      </c>
      <c r="E41" s="148">
        <f>E26+E27+E40</f>
        <v>104410.35999999999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63"/>
      <c r="D43" s="363"/>
      <c r="E43" s="363"/>
    </row>
    <row r="44" spans="2:6" ht="18" customHeight="1" thickBot="1">
      <c r="B44" s="360" t="s">
        <v>121</v>
      </c>
      <c r="C44" s="364"/>
      <c r="D44" s="364"/>
      <c r="E44" s="364"/>
    </row>
    <row r="45" spans="2:6" ht="13.5" thickBot="1">
      <c r="B45" s="146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7">
        <v>444.59539999999998</v>
      </c>
      <c r="E47" s="73">
        <v>442.4273</v>
      </c>
    </row>
    <row r="48" spans="2:6">
      <c r="B48" s="123" t="s">
        <v>6</v>
      </c>
      <c r="C48" s="22" t="s">
        <v>41</v>
      </c>
      <c r="D48" s="207">
        <v>442.4273</v>
      </c>
      <c r="E48" s="149">
        <v>306.20670000000001</v>
      </c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02" t="s">
        <v>4</v>
      </c>
      <c r="C50" s="15" t="s">
        <v>40</v>
      </c>
      <c r="D50" s="207">
        <v>338.48</v>
      </c>
      <c r="E50" s="75">
        <v>317.55</v>
      </c>
    </row>
    <row r="51" spans="2:5">
      <c r="B51" s="102" t="s">
        <v>6</v>
      </c>
      <c r="C51" s="15" t="s">
        <v>114</v>
      </c>
      <c r="D51" s="207">
        <v>309.33</v>
      </c>
      <c r="E51" s="75">
        <v>317.47000000000003</v>
      </c>
    </row>
    <row r="52" spans="2:5">
      <c r="B52" s="102" t="s">
        <v>8</v>
      </c>
      <c r="C52" s="15" t="s">
        <v>115</v>
      </c>
      <c r="D52" s="207">
        <v>350.65</v>
      </c>
      <c r="E52" s="75">
        <v>344.99</v>
      </c>
    </row>
    <row r="53" spans="2:5" ht="13.5" customHeight="1" thickBot="1">
      <c r="B53" s="103" t="s">
        <v>9</v>
      </c>
      <c r="C53" s="17" t="s">
        <v>41</v>
      </c>
      <c r="D53" s="209">
        <v>317.55</v>
      </c>
      <c r="E53" s="233">
        <v>340.98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7.2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104410.36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3.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104410.36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104410.36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104410.36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6" right="0.75" top="0.55000000000000004" bottom="0.5" header="0.5" footer="0.5"/>
  <pageSetup paperSize="9" scale="70" orientation="portrait" r:id="rId1"/>
  <headerFooter alignWithMargins="0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8"/>
  <dimension ref="A1:F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147"/>
      <c r="C4" s="147"/>
      <c r="D4" s="147"/>
      <c r="E4" s="147"/>
    </row>
    <row r="5" spans="2:5" ht="21" customHeight="1">
      <c r="B5" s="358" t="s">
        <v>1</v>
      </c>
      <c r="C5" s="358"/>
      <c r="D5" s="358"/>
      <c r="E5" s="358"/>
    </row>
    <row r="6" spans="2:5" ht="14.25">
      <c r="B6" s="359" t="s">
        <v>279</v>
      </c>
      <c r="C6" s="359"/>
      <c r="D6" s="359"/>
      <c r="E6" s="359"/>
    </row>
    <row r="7" spans="2:5" ht="14.25">
      <c r="B7" s="145"/>
      <c r="C7" s="145"/>
      <c r="D7" s="145"/>
      <c r="E7" s="145"/>
    </row>
    <row r="8" spans="2:5" ht="13.5">
      <c r="B8" s="361" t="s">
        <v>18</v>
      </c>
      <c r="C8" s="363"/>
      <c r="D8" s="363"/>
      <c r="E8" s="363"/>
    </row>
    <row r="9" spans="2:5" ht="16.5" thickBot="1">
      <c r="B9" s="360" t="s">
        <v>103</v>
      </c>
      <c r="C9" s="360"/>
      <c r="D9" s="360"/>
      <c r="E9" s="360"/>
    </row>
    <row r="10" spans="2:5" ht="13.5" thickBot="1">
      <c r="B10" s="146"/>
      <c r="C10" s="76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28" t="s">
        <v>109</v>
      </c>
      <c r="D11" s="243">
        <v>27244.59</v>
      </c>
      <c r="E11" s="244">
        <f>SUM(E12:E14)</f>
        <v>32313.63</v>
      </c>
    </row>
    <row r="12" spans="2:5">
      <c r="B12" s="174" t="s">
        <v>4</v>
      </c>
      <c r="C12" s="175" t="s">
        <v>5</v>
      </c>
      <c r="D12" s="283">
        <v>27244.59</v>
      </c>
      <c r="E12" s="304">
        <v>32313.63</v>
      </c>
    </row>
    <row r="13" spans="2:5">
      <c r="B13" s="174" t="s">
        <v>6</v>
      </c>
      <c r="C13" s="176" t="s">
        <v>7</v>
      </c>
      <c r="D13" s="276"/>
      <c r="E13" s="305"/>
    </row>
    <row r="14" spans="2:5">
      <c r="B14" s="174" t="s">
        <v>8</v>
      </c>
      <c r="C14" s="176" t="s">
        <v>10</v>
      </c>
      <c r="D14" s="276"/>
      <c r="E14" s="305"/>
    </row>
    <row r="15" spans="2:5">
      <c r="B15" s="174" t="s">
        <v>106</v>
      </c>
      <c r="C15" s="176" t="s">
        <v>11</v>
      </c>
      <c r="D15" s="276"/>
      <c r="E15" s="305"/>
    </row>
    <row r="16" spans="2:5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27244.59</v>
      </c>
      <c r="E21" s="148">
        <f>E11-E17</f>
        <v>32313.63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22242.32</v>
      </c>
      <c r="E26" s="231">
        <f>D21</f>
        <v>27244.59</v>
      </c>
    </row>
    <row r="27" spans="2:6">
      <c r="B27" s="9" t="s">
        <v>17</v>
      </c>
      <c r="C27" s="10" t="s">
        <v>111</v>
      </c>
      <c r="D27" s="202">
        <v>4473.21</v>
      </c>
      <c r="E27" s="224">
        <v>4480.09</v>
      </c>
      <c r="F27" s="71"/>
    </row>
    <row r="28" spans="2:6">
      <c r="B28" s="9" t="s">
        <v>18</v>
      </c>
      <c r="C28" s="10" t="s">
        <v>19</v>
      </c>
      <c r="D28" s="202">
        <v>5000.01</v>
      </c>
      <c r="E28" s="225">
        <v>4999.99</v>
      </c>
      <c r="F28" s="71"/>
    </row>
    <row r="29" spans="2:6">
      <c r="B29" s="182" t="s">
        <v>4</v>
      </c>
      <c r="C29" s="175" t="s">
        <v>20</v>
      </c>
      <c r="D29" s="203">
        <v>5000.01</v>
      </c>
      <c r="E29" s="226">
        <v>4999.99</v>
      </c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/>
      <c r="E31" s="226"/>
      <c r="F31" s="71"/>
    </row>
    <row r="32" spans="2:6">
      <c r="B32" s="92" t="s">
        <v>23</v>
      </c>
      <c r="C32" s="11" t="s">
        <v>24</v>
      </c>
      <c r="D32" s="202">
        <v>526.80000000000007</v>
      </c>
      <c r="E32" s="225">
        <v>519.9</v>
      </c>
      <c r="F32" s="71"/>
    </row>
    <row r="33" spans="2:6">
      <c r="B33" s="182" t="s">
        <v>4</v>
      </c>
      <c r="C33" s="175" t="s">
        <v>25</v>
      </c>
      <c r="D33" s="203"/>
      <c r="E33" s="226"/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78.260000000000005</v>
      </c>
      <c r="E35" s="226">
        <v>71.19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448.54</v>
      </c>
      <c r="E37" s="226">
        <v>448.71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/>
      <c r="E39" s="227"/>
      <c r="F39" s="71"/>
    </row>
    <row r="40" spans="2:6" ht="13.5" thickBot="1">
      <c r="B40" s="97" t="s">
        <v>35</v>
      </c>
      <c r="C40" s="98" t="s">
        <v>36</v>
      </c>
      <c r="D40" s="205">
        <v>529.05999999999995</v>
      </c>
      <c r="E40" s="232">
        <v>588.95000000000005</v>
      </c>
    </row>
    <row r="41" spans="2:6" ht="13.5" thickBot="1">
      <c r="B41" s="99" t="s">
        <v>37</v>
      </c>
      <c r="C41" s="100" t="s">
        <v>38</v>
      </c>
      <c r="D41" s="206">
        <v>27244.59</v>
      </c>
      <c r="E41" s="148">
        <f>E26+E27+E40</f>
        <v>32313.63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63"/>
      <c r="D43" s="363"/>
      <c r="E43" s="363"/>
    </row>
    <row r="44" spans="2:6" ht="18" customHeight="1" thickBot="1">
      <c r="B44" s="360" t="s">
        <v>121</v>
      </c>
      <c r="C44" s="364"/>
      <c r="D44" s="364"/>
      <c r="E44" s="364"/>
    </row>
    <row r="45" spans="2:6" ht="13.5" thickBot="1">
      <c r="B45" s="146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7">
        <v>184.96729999999999</v>
      </c>
      <c r="E47" s="73">
        <v>221.48269999999999</v>
      </c>
    </row>
    <row r="48" spans="2:6">
      <c r="B48" s="123" t="s">
        <v>6</v>
      </c>
      <c r="C48" s="22" t="s">
        <v>41</v>
      </c>
      <c r="D48" s="207">
        <v>221.48269999999999</v>
      </c>
      <c r="E48" s="149">
        <v>257.35610000000003</v>
      </c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02" t="s">
        <v>4</v>
      </c>
      <c r="C50" s="15" t="s">
        <v>40</v>
      </c>
      <c r="D50" s="207">
        <v>120.25</v>
      </c>
      <c r="E50" s="75">
        <v>123.01</v>
      </c>
    </row>
    <row r="51" spans="2:5">
      <c r="B51" s="102" t="s">
        <v>6</v>
      </c>
      <c r="C51" s="15" t="s">
        <v>114</v>
      </c>
      <c r="D51" s="207">
        <v>120.25</v>
      </c>
      <c r="E51" s="75">
        <v>123.01</v>
      </c>
    </row>
    <row r="52" spans="2:5">
      <c r="B52" s="102" t="s">
        <v>8</v>
      </c>
      <c r="C52" s="15" t="s">
        <v>115</v>
      </c>
      <c r="D52" s="207">
        <v>123.01</v>
      </c>
      <c r="E52" s="75">
        <v>125.56</v>
      </c>
    </row>
    <row r="53" spans="2:5" ht="13.5" customHeight="1" thickBot="1">
      <c r="B53" s="103" t="s">
        <v>9</v>
      </c>
      <c r="C53" s="17" t="s">
        <v>41</v>
      </c>
      <c r="D53" s="209">
        <v>123.01</v>
      </c>
      <c r="E53" s="233">
        <v>125.56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5.7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32313.63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32313.63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32313.63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32313.63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4" right="0.75" top="0.55000000000000004" bottom="0.59" header="0.5" footer="0.5"/>
  <pageSetup paperSize="9" scale="70" orientation="portrait" r:id="rId1"/>
  <headerFooter alignWithMargins="0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9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47"/>
      <c r="C4" s="147"/>
      <c r="D4" s="147"/>
      <c r="E4" s="147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271</v>
      </c>
      <c r="C6" s="359"/>
      <c r="D6" s="359"/>
      <c r="E6" s="359"/>
    </row>
    <row r="7" spans="2:7" ht="14.25">
      <c r="B7" s="145"/>
      <c r="C7" s="145"/>
      <c r="D7" s="145"/>
      <c r="E7" s="145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46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279765.01</v>
      </c>
      <c r="E11" s="244">
        <f>SUM(E12:E14)</f>
        <v>201233.5</v>
      </c>
    </row>
    <row r="12" spans="2:7">
      <c r="B12" s="174" t="s">
        <v>4</v>
      </c>
      <c r="C12" s="175" t="s">
        <v>5</v>
      </c>
      <c r="D12" s="283">
        <v>279765.01</v>
      </c>
      <c r="E12" s="304">
        <v>201233.5</v>
      </c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279765.01</v>
      </c>
      <c r="E21" s="148">
        <f>E11-E17</f>
        <v>201233.5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596963.11</v>
      </c>
      <c r="E26" s="231">
        <f>D21</f>
        <v>279765.01</v>
      </c>
    </row>
    <row r="27" spans="2:6">
      <c r="B27" s="9" t="s">
        <v>17</v>
      </c>
      <c r="C27" s="10" t="s">
        <v>111</v>
      </c>
      <c r="D27" s="202">
        <v>-297079.48000000004</v>
      </c>
      <c r="E27" s="224">
        <v>-100277.68</v>
      </c>
      <c r="F27" s="71"/>
    </row>
    <row r="28" spans="2:6">
      <c r="B28" s="9" t="s">
        <v>18</v>
      </c>
      <c r="C28" s="10" t="s">
        <v>19</v>
      </c>
      <c r="D28" s="202">
        <v>1500.92</v>
      </c>
      <c r="E28" s="225">
        <v>1545.89</v>
      </c>
      <c r="F28" s="71"/>
    </row>
    <row r="29" spans="2:6">
      <c r="B29" s="182" t="s">
        <v>4</v>
      </c>
      <c r="C29" s="175" t="s">
        <v>20</v>
      </c>
      <c r="D29" s="203">
        <v>1500.92</v>
      </c>
      <c r="E29" s="226">
        <v>1545.89</v>
      </c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/>
      <c r="E31" s="226"/>
      <c r="F31" s="71"/>
    </row>
    <row r="32" spans="2:6">
      <c r="B32" s="92" t="s">
        <v>23</v>
      </c>
      <c r="C32" s="11" t="s">
        <v>24</v>
      </c>
      <c r="D32" s="202">
        <v>298580.40000000002</v>
      </c>
      <c r="E32" s="225">
        <v>101823.57</v>
      </c>
      <c r="F32" s="71"/>
    </row>
    <row r="33" spans="2:6">
      <c r="B33" s="182" t="s">
        <v>4</v>
      </c>
      <c r="C33" s="175" t="s">
        <v>25</v>
      </c>
      <c r="D33" s="203">
        <v>293233.82</v>
      </c>
      <c r="E33" s="226">
        <v>97449.61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26.19</v>
      </c>
      <c r="E35" s="226">
        <v>29.05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5320.39</v>
      </c>
      <c r="E37" s="226">
        <v>4344.91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/>
      <c r="E39" s="227"/>
      <c r="F39" s="71"/>
    </row>
    <row r="40" spans="2:6" ht="13.5" thickBot="1">
      <c r="B40" s="97" t="s">
        <v>35</v>
      </c>
      <c r="C40" s="98" t="s">
        <v>36</v>
      </c>
      <c r="D40" s="205">
        <v>-20118.62</v>
      </c>
      <c r="E40" s="232">
        <v>21746.17</v>
      </c>
    </row>
    <row r="41" spans="2:6" ht="13.5" thickBot="1">
      <c r="B41" s="99" t="s">
        <v>37</v>
      </c>
      <c r="C41" s="100" t="s">
        <v>38</v>
      </c>
      <c r="D41" s="206">
        <v>279765.00999999995</v>
      </c>
      <c r="E41" s="148">
        <f>E26+E27+E40</f>
        <v>201233.5</v>
      </c>
      <c r="F41" s="77"/>
    </row>
    <row r="42" spans="2:6">
      <c r="B42" s="93"/>
      <c r="C42" s="93"/>
      <c r="D42" s="223"/>
      <c r="E42" s="94"/>
      <c r="F42" s="77"/>
    </row>
    <row r="43" spans="2:6" ht="13.5">
      <c r="B43" s="362" t="s">
        <v>60</v>
      </c>
      <c r="C43" s="363"/>
      <c r="D43" s="363"/>
      <c r="E43" s="363"/>
    </row>
    <row r="44" spans="2:6" ht="18" customHeight="1" thickBot="1">
      <c r="B44" s="360" t="s">
        <v>121</v>
      </c>
      <c r="C44" s="364"/>
      <c r="D44" s="364"/>
      <c r="E44" s="364"/>
    </row>
    <row r="45" spans="2:6" ht="13.5" thickBot="1">
      <c r="B45" s="146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7">
        <v>3052.4268000000002</v>
      </c>
      <c r="E47" s="73">
        <v>1525.2699</v>
      </c>
    </row>
    <row r="48" spans="2:6">
      <c r="B48" s="123" t="s">
        <v>6</v>
      </c>
      <c r="C48" s="22" t="s">
        <v>41</v>
      </c>
      <c r="D48" s="207">
        <v>1525.2699</v>
      </c>
      <c r="E48" s="149">
        <v>1017.7701</v>
      </c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02" t="s">
        <v>4</v>
      </c>
      <c r="C50" s="15" t="s">
        <v>40</v>
      </c>
      <c r="D50" s="207">
        <v>195.57</v>
      </c>
      <c r="E50" s="75">
        <v>183.42</v>
      </c>
    </row>
    <row r="51" spans="2:5">
      <c r="B51" s="102" t="s">
        <v>6</v>
      </c>
      <c r="C51" s="15" t="s">
        <v>114</v>
      </c>
      <c r="D51" s="207">
        <v>165.92</v>
      </c>
      <c r="E51" s="75">
        <v>182.37</v>
      </c>
    </row>
    <row r="52" spans="2:5">
      <c r="B52" s="102" t="s">
        <v>8</v>
      </c>
      <c r="C52" s="15" t="s">
        <v>115</v>
      </c>
      <c r="D52" s="207">
        <v>197.07</v>
      </c>
      <c r="E52" s="75">
        <v>201.38</v>
      </c>
    </row>
    <row r="53" spans="2:5" ht="13.5" customHeight="1" thickBot="1">
      <c r="B53" s="103" t="s">
        <v>9</v>
      </c>
      <c r="C53" s="17" t="s">
        <v>41</v>
      </c>
      <c r="D53" s="209">
        <v>183.42</v>
      </c>
      <c r="E53" s="233">
        <v>197.72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6.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201233.5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3.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201233.5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201233.5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201233.5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0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47"/>
      <c r="C4" s="147"/>
      <c r="D4" s="147"/>
      <c r="E4" s="147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280</v>
      </c>
      <c r="C6" s="359"/>
      <c r="D6" s="359"/>
      <c r="E6" s="359"/>
    </row>
    <row r="7" spans="2:7" ht="14.25">
      <c r="B7" s="145"/>
      <c r="C7" s="145"/>
      <c r="D7" s="145"/>
      <c r="E7" s="145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46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34542.54</v>
      </c>
      <c r="E11" s="244">
        <f>SUM(E12:E14)</f>
        <v>40954.5</v>
      </c>
    </row>
    <row r="12" spans="2:7">
      <c r="B12" s="174" t="s">
        <v>4</v>
      </c>
      <c r="C12" s="175" t="s">
        <v>5</v>
      </c>
      <c r="D12" s="283">
        <v>34542.54</v>
      </c>
      <c r="E12" s="304">
        <v>40954.5</v>
      </c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34542.54</v>
      </c>
      <c r="E21" s="148">
        <f>E11-E17</f>
        <v>40954.5</v>
      </c>
      <c r="F21" s="77"/>
    </row>
    <row r="22" spans="2:6">
      <c r="B22" s="3"/>
      <c r="C22" s="7"/>
      <c r="D22" s="8"/>
      <c r="E22" s="222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75258.92</v>
      </c>
      <c r="E26" s="231">
        <f>D21</f>
        <v>34542.54</v>
      </c>
    </row>
    <row r="27" spans="2:6">
      <c r="B27" s="9" t="s">
        <v>17</v>
      </c>
      <c r="C27" s="10" t="s">
        <v>111</v>
      </c>
      <c r="D27" s="202">
        <v>-40780.239999999998</v>
      </c>
      <c r="E27" s="224">
        <v>4460.5</v>
      </c>
      <c r="F27" s="71"/>
    </row>
    <row r="28" spans="2:6">
      <c r="B28" s="9" t="s">
        <v>18</v>
      </c>
      <c r="C28" s="10" t="s">
        <v>19</v>
      </c>
      <c r="D28" s="202">
        <v>4940.5600000000004</v>
      </c>
      <c r="E28" s="225">
        <v>5181.8599999999997</v>
      </c>
      <c r="F28" s="71"/>
    </row>
    <row r="29" spans="2:6">
      <c r="B29" s="182" t="s">
        <v>4</v>
      </c>
      <c r="C29" s="175" t="s">
        <v>20</v>
      </c>
      <c r="D29" s="203">
        <v>4940.5600000000004</v>
      </c>
      <c r="E29" s="226">
        <v>5181.8599999999997</v>
      </c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/>
      <c r="E31" s="226"/>
      <c r="F31" s="71"/>
    </row>
    <row r="32" spans="2:6">
      <c r="B32" s="92" t="s">
        <v>23</v>
      </c>
      <c r="C32" s="11" t="s">
        <v>24</v>
      </c>
      <c r="D32" s="202">
        <v>45720.799999999996</v>
      </c>
      <c r="E32" s="225">
        <v>721.36</v>
      </c>
      <c r="F32" s="71"/>
    </row>
    <row r="33" spans="2:6">
      <c r="B33" s="182" t="s">
        <v>4</v>
      </c>
      <c r="C33" s="175" t="s">
        <v>25</v>
      </c>
      <c r="D33" s="203">
        <v>45025.59</v>
      </c>
      <c r="E33" s="226"/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73.17</v>
      </c>
      <c r="E35" s="226">
        <v>72.459999999999994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622.04</v>
      </c>
      <c r="E37" s="226">
        <v>648.9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/>
      <c r="E39" s="227"/>
      <c r="F39" s="71"/>
    </row>
    <row r="40" spans="2:6" ht="13.5" thickBot="1">
      <c r="B40" s="97" t="s">
        <v>35</v>
      </c>
      <c r="C40" s="98" t="s">
        <v>36</v>
      </c>
      <c r="D40" s="205">
        <v>63.86</v>
      </c>
      <c r="E40" s="232">
        <v>1951.46</v>
      </c>
    </row>
    <row r="41" spans="2:6" ht="13.5" thickBot="1">
      <c r="B41" s="99" t="s">
        <v>37</v>
      </c>
      <c r="C41" s="100" t="s">
        <v>38</v>
      </c>
      <c r="D41" s="206">
        <v>34542.54</v>
      </c>
      <c r="E41" s="148">
        <f>E26+E27+E40</f>
        <v>40954.5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63"/>
      <c r="D43" s="363"/>
      <c r="E43" s="363"/>
    </row>
    <row r="44" spans="2:6" ht="18" customHeight="1" thickBot="1">
      <c r="B44" s="360" t="s">
        <v>121</v>
      </c>
      <c r="C44" s="364"/>
      <c r="D44" s="364"/>
      <c r="E44" s="364"/>
    </row>
    <row r="45" spans="2:6" ht="13.5" thickBot="1">
      <c r="B45" s="146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7">
        <v>414.3073</v>
      </c>
      <c r="E47" s="73">
        <v>194.6936</v>
      </c>
    </row>
    <row r="48" spans="2:6">
      <c r="B48" s="123" t="s">
        <v>6</v>
      </c>
      <c r="C48" s="22" t="s">
        <v>41</v>
      </c>
      <c r="D48" s="207">
        <v>194.6936</v>
      </c>
      <c r="E48" s="149">
        <v>218.97290000000001</v>
      </c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02" t="s">
        <v>4</v>
      </c>
      <c r="C50" s="15" t="s">
        <v>40</v>
      </c>
      <c r="D50" s="207">
        <v>181.65</v>
      </c>
      <c r="E50" s="75">
        <v>177.42</v>
      </c>
    </row>
    <row r="51" spans="2:5">
      <c r="B51" s="102" t="s">
        <v>6</v>
      </c>
      <c r="C51" s="15" t="s">
        <v>114</v>
      </c>
      <c r="D51" s="207">
        <v>173.25</v>
      </c>
      <c r="E51" s="75">
        <v>177.42</v>
      </c>
    </row>
    <row r="52" spans="2:5">
      <c r="B52" s="102" t="s">
        <v>8</v>
      </c>
      <c r="C52" s="15" t="s">
        <v>115</v>
      </c>
      <c r="D52" s="207">
        <v>185.64</v>
      </c>
      <c r="E52" s="75">
        <v>187.98</v>
      </c>
    </row>
    <row r="53" spans="2:5" ht="13.5" customHeight="1" thickBot="1">
      <c r="B53" s="103" t="s">
        <v>9</v>
      </c>
      <c r="C53" s="17" t="s">
        <v>41</v>
      </c>
      <c r="D53" s="209">
        <v>177.42</v>
      </c>
      <c r="E53" s="233">
        <v>187.03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4.25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40954.5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3.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40954.5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40954.5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40954.5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9" right="0.75" top="0.56999999999999995" bottom="0.49" header="0.5" footer="0.5"/>
  <pageSetup paperSize="9" scale="7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G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87"/>
      <c r="C4" s="87"/>
      <c r="D4" s="87"/>
      <c r="E4" s="87"/>
    </row>
    <row r="5" spans="2:5" ht="21" customHeight="1">
      <c r="B5" s="358" t="s">
        <v>1</v>
      </c>
      <c r="C5" s="358"/>
      <c r="D5" s="358"/>
      <c r="E5" s="358"/>
    </row>
    <row r="6" spans="2:5" ht="14.25">
      <c r="B6" s="359" t="s">
        <v>145</v>
      </c>
      <c r="C6" s="359"/>
      <c r="D6" s="359"/>
      <c r="E6" s="359"/>
    </row>
    <row r="7" spans="2:5" ht="14.25">
      <c r="B7" s="89"/>
      <c r="C7" s="89"/>
      <c r="D7" s="89"/>
      <c r="E7" s="89"/>
    </row>
    <row r="8" spans="2:5" ht="13.5">
      <c r="B8" s="361" t="s">
        <v>18</v>
      </c>
      <c r="C8" s="363"/>
      <c r="D8" s="363"/>
      <c r="E8" s="363"/>
    </row>
    <row r="9" spans="2:5" ht="16.5" thickBot="1">
      <c r="B9" s="360" t="s">
        <v>103</v>
      </c>
      <c r="C9" s="360"/>
      <c r="D9" s="360"/>
      <c r="E9" s="360"/>
    </row>
    <row r="10" spans="2:5" ht="13.5" thickBot="1">
      <c r="B10" s="88"/>
      <c r="C10" s="76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28" t="s">
        <v>109</v>
      </c>
      <c r="D11" s="243">
        <v>22448596.600000001</v>
      </c>
      <c r="E11" s="244">
        <f>SUM(E12:E14)</f>
        <v>13513088.439999999</v>
      </c>
    </row>
    <row r="12" spans="2:5">
      <c r="B12" s="106" t="s">
        <v>4</v>
      </c>
      <c r="C12" s="6" t="s">
        <v>5</v>
      </c>
      <c r="D12" s="283">
        <v>22448596.600000001</v>
      </c>
      <c r="E12" s="304">
        <f>13396334.62+116681.34</f>
        <v>13513015.959999999</v>
      </c>
    </row>
    <row r="13" spans="2:5">
      <c r="B13" s="106" t="s">
        <v>6</v>
      </c>
      <c r="C13" s="68" t="s">
        <v>7</v>
      </c>
      <c r="D13" s="276"/>
      <c r="E13" s="305"/>
    </row>
    <row r="14" spans="2:5">
      <c r="B14" s="106" t="s">
        <v>8</v>
      </c>
      <c r="C14" s="68" t="s">
        <v>10</v>
      </c>
      <c r="D14" s="276"/>
      <c r="E14" s="305">
        <f>E15</f>
        <v>72.48</v>
      </c>
    </row>
    <row r="15" spans="2:5">
      <c r="B15" s="106" t="s">
        <v>106</v>
      </c>
      <c r="C15" s="68" t="s">
        <v>11</v>
      </c>
      <c r="D15" s="276"/>
      <c r="E15" s="305">
        <v>72.48</v>
      </c>
    </row>
    <row r="16" spans="2:5">
      <c r="B16" s="107" t="s">
        <v>107</v>
      </c>
      <c r="C16" s="91" t="s">
        <v>12</v>
      </c>
      <c r="D16" s="278"/>
      <c r="E16" s="306"/>
    </row>
    <row r="17" spans="2:7">
      <c r="B17" s="9" t="s">
        <v>13</v>
      </c>
      <c r="C17" s="11" t="s">
        <v>65</v>
      </c>
      <c r="D17" s="279">
        <v>3706.74</v>
      </c>
      <c r="E17" s="307">
        <f>E18</f>
        <v>641551.92000000004</v>
      </c>
    </row>
    <row r="18" spans="2:7">
      <c r="B18" s="106" t="s">
        <v>4</v>
      </c>
      <c r="C18" s="6" t="s">
        <v>11</v>
      </c>
      <c r="D18" s="278">
        <v>3706.74</v>
      </c>
      <c r="E18" s="306">
        <v>641551.92000000004</v>
      </c>
    </row>
    <row r="19" spans="2:7" ht="15" customHeight="1">
      <c r="B19" s="106" t="s">
        <v>6</v>
      </c>
      <c r="C19" s="68" t="s">
        <v>108</v>
      </c>
      <c r="D19" s="276"/>
      <c r="E19" s="305"/>
    </row>
    <row r="20" spans="2:7" ht="13.5" thickBot="1">
      <c r="B20" s="108" t="s">
        <v>8</v>
      </c>
      <c r="C20" s="69" t="s">
        <v>14</v>
      </c>
      <c r="D20" s="245"/>
      <c r="E20" s="246"/>
    </row>
    <row r="21" spans="2:7" ht="13.5" thickBot="1">
      <c r="B21" s="367" t="s">
        <v>110</v>
      </c>
      <c r="C21" s="368"/>
      <c r="D21" s="247">
        <v>22444889.860000003</v>
      </c>
      <c r="E21" s="148">
        <f>E11-E17</f>
        <v>12871536.52</v>
      </c>
      <c r="F21" s="77"/>
      <c r="G21" s="173"/>
    </row>
    <row r="22" spans="2:7">
      <c r="B22" s="3"/>
      <c r="C22" s="7"/>
      <c r="D22" s="8"/>
      <c r="E22" s="8"/>
    </row>
    <row r="23" spans="2:7" ht="13.5">
      <c r="B23" s="361" t="s">
        <v>104</v>
      </c>
      <c r="C23" s="369"/>
      <c r="D23" s="369"/>
      <c r="E23" s="369"/>
    </row>
    <row r="24" spans="2:7" ht="15.75" customHeight="1" thickBot="1">
      <c r="B24" s="360" t="s">
        <v>105</v>
      </c>
      <c r="C24" s="370"/>
      <c r="D24" s="370"/>
      <c r="E24" s="370"/>
    </row>
    <row r="25" spans="2:7" ht="13.5" thickBot="1">
      <c r="B25" s="88"/>
      <c r="C25" s="5" t="s">
        <v>2</v>
      </c>
      <c r="D25" s="70" t="s">
        <v>125</v>
      </c>
      <c r="E25" s="319" t="s">
        <v>268</v>
      </c>
    </row>
    <row r="26" spans="2:7">
      <c r="B26" s="95" t="s">
        <v>15</v>
      </c>
      <c r="C26" s="96" t="s">
        <v>16</v>
      </c>
      <c r="D26" s="201">
        <v>37157605.240000002</v>
      </c>
      <c r="E26" s="231">
        <f>D21</f>
        <v>22444889.860000003</v>
      </c>
    </row>
    <row r="27" spans="2:7">
      <c r="B27" s="9" t="s">
        <v>17</v>
      </c>
      <c r="C27" s="10" t="s">
        <v>111</v>
      </c>
      <c r="D27" s="202">
        <v>-11414534.459999999</v>
      </c>
      <c r="E27" s="224">
        <v>-14167223.42</v>
      </c>
      <c r="F27" s="71"/>
    </row>
    <row r="28" spans="2:7">
      <c r="B28" s="9" t="s">
        <v>18</v>
      </c>
      <c r="C28" s="10" t="s">
        <v>19</v>
      </c>
      <c r="D28" s="202">
        <v>869747.6</v>
      </c>
      <c r="E28" s="225">
        <v>454712.88</v>
      </c>
      <c r="F28" s="71"/>
    </row>
    <row r="29" spans="2:7">
      <c r="B29" s="104" t="s">
        <v>4</v>
      </c>
      <c r="C29" s="6" t="s">
        <v>20</v>
      </c>
      <c r="D29" s="203">
        <v>2000</v>
      </c>
      <c r="E29" s="226"/>
      <c r="F29" s="71"/>
    </row>
    <row r="30" spans="2:7">
      <c r="B30" s="104" t="s">
        <v>6</v>
      </c>
      <c r="C30" s="6" t="s">
        <v>21</v>
      </c>
      <c r="D30" s="203"/>
      <c r="E30" s="226"/>
      <c r="F30" s="71"/>
    </row>
    <row r="31" spans="2:7">
      <c r="B31" s="104" t="s">
        <v>8</v>
      </c>
      <c r="C31" s="6" t="s">
        <v>22</v>
      </c>
      <c r="D31" s="203">
        <v>867747.6</v>
      </c>
      <c r="E31" s="226">
        <v>454712.88</v>
      </c>
      <c r="F31" s="71"/>
    </row>
    <row r="32" spans="2:7">
      <c r="B32" s="92" t="s">
        <v>23</v>
      </c>
      <c r="C32" s="11" t="s">
        <v>24</v>
      </c>
      <c r="D32" s="202">
        <v>12284282.059999999</v>
      </c>
      <c r="E32" s="225">
        <v>14621936.300000001</v>
      </c>
      <c r="F32" s="71"/>
    </row>
    <row r="33" spans="2:6">
      <c r="B33" s="104" t="s">
        <v>4</v>
      </c>
      <c r="C33" s="6" t="s">
        <v>25</v>
      </c>
      <c r="D33" s="203">
        <v>11150909.359999999</v>
      </c>
      <c r="E33" s="226">
        <v>13763899.140000001</v>
      </c>
      <c r="F33" s="71"/>
    </row>
    <row r="34" spans="2:6">
      <c r="B34" s="104" t="s">
        <v>6</v>
      </c>
      <c r="C34" s="6" t="s">
        <v>26</v>
      </c>
      <c r="D34" s="203"/>
      <c r="E34" s="226"/>
      <c r="F34" s="71"/>
    </row>
    <row r="35" spans="2:6">
      <c r="B35" s="104" t="s">
        <v>8</v>
      </c>
      <c r="C35" s="6" t="s">
        <v>27</v>
      </c>
      <c r="D35" s="203">
        <v>37842.82</v>
      </c>
      <c r="E35" s="226">
        <v>56793.16</v>
      </c>
      <c r="F35" s="71"/>
    </row>
    <row r="36" spans="2:6">
      <c r="B36" s="104" t="s">
        <v>9</v>
      </c>
      <c r="C36" s="6" t="s">
        <v>28</v>
      </c>
      <c r="D36" s="203"/>
      <c r="E36" s="226"/>
      <c r="F36" s="71"/>
    </row>
    <row r="37" spans="2:6" ht="25.5">
      <c r="B37" s="104" t="s">
        <v>29</v>
      </c>
      <c r="C37" s="6" t="s">
        <v>30</v>
      </c>
      <c r="D37" s="203">
        <v>603842.01</v>
      </c>
      <c r="E37" s="226">
        <v>370220.71</v>
      </c>
      <c r="F37" s="71"/>
    </row>
    <row r="38" spans="2:6">
      <c r="B38" s="104" t="s">
        <v>31</v>
      </c>
      <c r="C38" s="6" t="s">
        <v>32</v>
      </c>
      <c r="D38" s="203"/>
      <c r="E38" s="226"/>
      <c r="F38" s="71"/>
    </row>
    <row r="39" spans="2:6">
      <c r="B39" s="105" t="s">
        <v>33</v>
      </c>
      <c r="C39" s="12" t="s">
        <v>34</v>
      </c>
      <c r="D39" s="204">
        <v>491687.87</v>
      </c>
      <c r="E39" s="227">
        <v>431023.29</v>
      </c>
      <c r="F39" s="71"/>
    </row>
    <row r="40" spans="2:6" ht="13.5" thickBot="1">
      <c r="B40" s="97" t="s">
        <v>35</v>
      </c>
      <c r="C40" s="98" t="s">
        <v>36</v>
      </c>
      <c r="D40" s="205">
        <v>-3298180.92</v>
      </c>
      <c r="E40" s="232">
        <v>4593870.08</v>
      </c>
    </row>
    <row r="41" spans="2:6" ht="13.5" thickBot="1">
      <c r="B41" s="99" t="s">
        <v>37</v>
      </c>
      <c r="C41" s="100" t="s">
        <v>38</v>
      </c>
      <c r="D41" s="206">
        <v>22444889.859999999</v>
      </c>
      <c r="E41" s="148">
        <f>E26+E27+E40</f>
        <v>12871536.520000003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63"/>
      <c r="D43" s="363"/>
      <c r="E43" s="363"/>
    </row>
    <row r="44" spans="2:6" ht="18" customHeight="1" thickBot="1">
      <c r="B44" s="360" t="s">
        <v>121</v>
      </c>
      <c r="C44" s="364"/>
      <c r="D44" s="364"/>
      <c r="E44" s="364"/>
    </row>
    <row r="45" spans="2:6" ht="13.5" thickBot="1">
      <c r="B45" s="88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7">
        <v>264866.79619999998</v>
      </c>
      <c r="E47" s="73">
        <v>183473.75649999999</v>
      </c>
    </row>
    <row r="48" spans="2:6">
      <c r="B48" s="123" t="s">
        <v>6</v>
      </c>
      <c r="C48" s="22" t="s">
        <v>41</v>
      </c>
      <c r="D48" s="207">
        <v>183473.75649999999</v>
      </c>
      <c r="E48" s="272">
        <v>84057.901100000003</v>
      </c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02" t="s">
        <v>4</v>
      </c>
      <c r="C50" s="15" t="s">
        <v>40</v>
      </c>
      <c r="D50" s="207">
        <v>140.28789478624401</v>
      </c>
      <c r="E50" s="73">
        <v>122.33297169124</v>
      </c>
    </row>
    <row r="51" spans="2:5">
      <c r="B51" s="102" t="s">
        <v>6</v>
      </c>
      <c r="C51" s="15" t="s">
        <v>114</v>
      </c>
      <c r="D51" s="207">
        <v>120.7466</v>
      </c>
      <c r="E51" s="234">
        <v>121.8511</v>
      </c>
    </row>
    <row r="52" spans="2:5" ht="12" customHeight="1">
      <c r="B52" s="102" t="s">
        <v>8</v>
      </c>
      <c r="C52" s="15" t="s">
        <v>115</v>
      </c>
      <c r="D52" s="207">
        <v>149.43539999999999</v>
      </c>
      <c r="E52" s="234">
        <v>153.53270000000001</v>
      </c>
    </row>
    <row r="53" spans="2:5" ht="13.5" thickBot="1">
      <c r="B53" s="103" t="s">
        <v>9</v>
      </c>
      <c r="C53" s="17" t="s">
        <v>41</v>
      </c>
      <c r="D53" s="209">
        <v>122.33297169124</v>
      </c>
      <c r="E53" s="233">
        <v>153.12700000000001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5.7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SUM(D59:D70)</f>
        <v>13513015.960000001</v>
      </c>
      <c r="E58" s="31">
        <f>D58/E21</f>
        <v>1.0498370523987761</v>
      </c>
    </row>
    <row r="59" spans="2:5" ht="25.5">
      <c r="B59" s="21" t="s">
        <v>4</v>
      </c>
      <c r="C59" s="22" t="s">
        <v>44</v>
      </c>
      <c r="D59" s="80">
        <v>0</v>
      </c>
      <c r="E59" s="81">
        <v>0</v>
      </c>
    </row>
    <row r="60" spans="2:5" ht="24" customHeight="1">
      <c r="B60" s="14" t="s">
        <v>6</v>
      </c>
      <c r="C60" s="15" t="s">
        <v>45</v>
      </c>
      <c r="D60" s="78">
        <v>0</v>
      </c>
      <c r="E60" s="79">
        <v>0</v>
      </c>
    </row>
    <row r="61" spans="2:5">
      <c r="B61" s="14" t="s">
        <v>8</v>
      </c>
      <c r="C61" s="15" t="s">
        <v>46</v>
      </c>
      <c r="D61" s="78">
        <v>0</v>
      </c>
      <c r="E61" s="79">
        <v>0</v>
      </c>
    </row>
    <row r="62" spans="2:5">
      <c r="B62" s="14" t="s">
        <v>9</v>
      </c>
      <c r="C62" s="15" t="s">
        <v>47</v>
      </c>
      <c r="D62" s="78">
        <v>0</v>
      </c>
      <c r="E62" s="79">
        <v>0</v>
      </c>
    </row>
    <row r="63" spans="2:5">
      <c r="B63" s="14" t="s">
        <v>29</v>
      </c>
      <c r="C63" s="15" t="s">
        <v>48</v>
      </c>
      <c r="D63" s="78">
        <v>0</v>
      </c>
      <c r="E63" s="79">
        <v>0</v>
      </c>
    </row>
    <row r="64" spans="2:5">
      <c r="B64" s="21" t="s">
        <v>31</v>
      </c>
      <c r="C64" s="22" t="s">
        <v>49</v>
      </c>
      <c r="D64" s="269">
        <v>13396334.620000001</v>
      </c>
      <c r="E64" s="81">
        <f>D64/E21</f>
        <v>1.0407719854723296</v>
      </c>
    </row>
    <row r="65" spans="2:5">
      <c r="B65" s="21" t="s">
        <v>33</v>
      </c>
      <c r="C65" s="22" t="s">
        <v>118</v>
      </c>
      <c r="D65" s="80">
        <v>0</v>
      </c>
      <c r="E65" s="81">
        <v>0</v>
      </c>
    </row>
    <row r="66" spans="2:5">
      <c r="B66" s="21" t="s">
        <v>50</v>
      </c>
      <c r="C66" s="22" t="s">
        <v>51</v>
      </c>
      <c r="D66" s="80">
        <v>0</v>
      </c>
      <c r="E66" s="81">
        <v>0</v>
      </c>
    </row>
    <row r="67" spans="2:5">
      <c r="B67" s="14" t="s">
        <v>52</v>
      </c>
      <c r="C67" s="15" t="s">
        <v>53</v>
      </c>
      <c r="D67" s="78">
        <v>0</v>
      </c>
      <c r="E67" s="79">
        <v>0</v>
      </c>
    </row>
    <row r="68" spans="2:5">
      <c r="B68" s="14" t="s">
        <v>54</v>
      </c>
      <c r="C68" s="15" t="s">
        <v>55</v>
      </c>
      <c r="D68" s="78">
        <v>0</v>
      </c>
      <c r="E68" s="79">
        <v>0</v>
      </c>
    </row>
    <row r="69" spans="2:5">
      <c r="B69" s="14" t="s">
        <v>56</v>
      </c>
      <c r="C69" s="15" t="s">
        <v>57</v>
      </c>
      <c r="D69" s="286">
        <v>116681.34</v>
      </c>
      <c r="E69" s="79">
        <f>D69/E21</f>
        <v>9.0650669264464787E-3</v>
      </c>
    </row>
    <row r="70" spans="2:5">
      <c r="B70" s="112" t="s">
        <v>58</v>
      </c>
      <c r="C70" s="113" t="s">
        <v>59</v>
      </c>
      <c r="D70" s="78">
        <v>0</v>
      </c>
      <c r="E70" s="115">
        <v>0</v>
      </c>
    </row>
    <row r="71" spans="2:5">
      <c r="B71" s="120" t="s">
        <v>23</v>
      </c>
      <c r="C71" s="121" t="s">
        <v>61</v>
      </c>
      <c r="D71" s="122">
        <f>E13</f>
        <v>0</v>
      </c>
      <c r="E71" s="66">
        <v>0</v>
      </c>
    </row>
    <row r="72" spans="2:5">
      <c r="B72" s="116" t="s">
        <v>60</v>
      </c>
      <c r="C72" s="117" t="s">
        <v>63</v>
      </c>
      <c r="D72" s="118">
        <f>E14</f>
        <v>72.48</v>
      </c>
      <c r="E72" s="119">
        <f>D72/E21</f>
        <v>5.6310293559264989E-6</v>
      </c>
    </row>
    <row r="73" spans="2:5">
      <c r="B73" s="23" t="s">
        <v>62</v>
      </c>
      <c r="C73" s="24" t="s">
        <v>65</v>
      </c>
      <c r="D73" s="25">
        <f>E17</f>
        <v>641551.92000000004</v>
      </c>
      <c r="E73" s="26">
        <f>D73/E21</f>
        <v>4.9842683428132015E-2</v>
      </c>
    </row>
    <row r="74" spans="2:5">
      <c r="B74" s="120" t="s">
        <v>64</v>
      </c>
      <c r="C74" s="121" t="s">
        <v>66</v>
      </c>
      <c r="D74" s="122">
        <f>D58+D71+D72-D73</f>
        <v>12871536.520000001</v>
      </c>
      <c r="E74" s="66">
        <f>E58+E72-E73</f>
        <v>1</v>
      </c>
    </row>
    <row r="75" spans="2:5">
      <c r="B75" s="14" t="s">
        <v>4</v>
      </c>
      <c r="C75" s="15" t="s">
        <v>67</v>
      </c>
      <c r="D75" s="78">
        <f>D74-D76</f>
        <v>10349666.880000001</v>
      </c>
      <c r="E75" s="79">
        <f>D75/E21</f>
        <v>0.80407392419067625</v>
      </c>
    </row>
    <row r="76" spans="2:5">
      <c r="B76" s="14" t="s">
        <v>6</v>
      </c>
      <c r="C76" s="15" t="s">
        <v>119</v>
      </c>
      <c r="D76" s="78">
        <v>2521869.64</v>
      </c>
      <c r="E76" s="79">
        <f>D76/E21</f>
        <v>0.19592607580932384</v>
      </c>
    </row>
    <row r="77" spans="2:5" ht="13.5" thickBot="1">
      <c r="B77" s="16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97" right="0.75" top="0.6" bottom="0.32" header="0.5" footer="0.5"/>
  <pageSetup paperSize="9" scale="70" orientation="portrait" r:id="rId1"/>
  <headerFooter alignWithMargins="0"/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2"/>
  <dimension ref="A1:F81"/>
  <sheetViews>
    <sheetView topLeftCell="A34" zoomScale="80" zoomScaleNormal="80" workbookViewId="0">
      <selection activeCell="E58" sqref="E58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147"/>
      <c r="C4" s="147"/>
      <c r="D4" s="147"/>
      <c r="E4" s="147"/>
    </row>
    <row r="5" spans="2:5" ht="21" customHeight="1">
      <c r="B5" s="358" t="s">
        <v>1</v>
      </c>
      <c r="C5" s="358"/>
      <c r="D5" s="358"/>
      <c r="E5" s="358"/>
    </row>
    <row r="6" spans="2:5" ht="14.25">
      <c r="B6" s="359" t="s">
        <v>270</v>
      </c>
      <c r="C6" s="359"/>
      <c r="D6" s="359"/>
      <c r="E6" s="359"/>
    </row>
    <row r="7" spans="2:5" ht="14.25">
      <c r="B7" s="145"/>
      <c r="C7" s="145"/>
      <c r="D7" s="145"/>
      <c r="E7" s="145"/>
    </row>
    <row r="8" spans="2:5" ht="13.5">
      <c r="B8" s="361" t="s">
        <v>18</v>
      </c>
      <c r="C8" s="363"/>
      <c r="D8" s="363"/>
      <c r="E8" s="363"/>
    </row>
    <row r="9" spans="2:5" ht="16.5" thickBot="1">
      <c r="B9" s="360" t="s">
        <v>103</v>
      </c>
      <c r="C9" s="360"/>
      <c r="D9" s="360"/>
      <c r="E9" s="360"/>
    </row>
    <row r="10" spans="2:5" ht="13.5" thickBot="1">
      <c r="B10" s="146"/>
      <c r="C10" s="76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28" t="s">
        <v>109</v>
      </c>
      <c r="D11" s="243">
        <v>985073.05</v>
      </c>
      <c r="E11" s="244">
        <f>SUM(E12:E14)</f>
        <v>505768.33</v>
      </c>
    </row>
    <row r="12" spans="2:5">
      <c r="B12" s="174" t="s">
        <v>4</v>
      </c>
      <c r="C12" s="175" t="s">
        <v>5</v>
      </c>
      <c r="D12" s="283">
        <v>985073.05</v>
      </c>
      <c r="E12" s="304">
        <v>505768.33</v>
      </c>
    </row>
    <row r="13" spans="2:5">
      <c r="B13" s="174" t="s">
        <v>6</v>
      </c>
      <c r="C13" s="176" t="s">
        <v>7</v>
      </c>
      <c r="D13" s="276"/>
      <c r="E13" s="305"/>
    </row>
    <row r="14" spans="2:5">
      <c r="B14" s="174" t="s">
        <v>8</v>
      </c>
      <c r="C14" s="176" t="s">
        <v>10</v>
      </c>
      <c r="D14" s="276"/>
      <c r="E14" s="305"/>
    </row>
    <row r="15" spans="2:5">
      <c r="B15" s="174" t="s">
        <v>106</v>
      </c>
      <c r="C15" s="176" t="s">
        <v>11</v>
      </c>
      <c r="D15" s="276"/>
      <c r="E15" s="305"/>
    </row>
    <row r="16" spans="2:5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985073.05</v>
      </c>
      <c r="E21" s="148">
        <f>E11-E17</f>
        <v>505768.33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1769900.47</v>
      </c>
      <c r="E26" s="231">
        <f>D21</f>
        <v>985073.05</v>
      </c>
    </row>
    <row r="27" spans="2:6">
      <c r="B27" s="9" t="s">
        <v>17</v>
      </c>
      <c r="C27" s="10" t="s">
        <v>111</v>
      </c>
      <c r="D27" s="202">
        <v>-775321.67000000016</v>
      </c>
      <c r="E27" s="224">
        <v>-526890.87</v>
      </c>
      <c r="F27" s="71"/>
    </row>
    <row r="28" spans="2:6">
      <c r="B28" s="9" t="s">
        <v>18</v>
      </c>
      <c r="C28" s="10" t="s">
        <v>19</v>
      </c>
      <c r="D28" s="202">
        <v>39653.72</v>
      </c>
      <c r="E28" s="225">
        <v>0</v>
      </c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>
        <v>39653.72</v>
      </c>
      <c r="E31" s="226"/>
      <c r="F31" s="71"/>
    </row>
    <row r="32" spans="2:6">
      <c r="B32" s="92" t="s">
        <v>23</v>
      </c>
      <c r="C32" s="11" t="s">
        <v>24</v>
      </c>
      <c r="D32" s="202">
        <v>814975.39000000013</v>
      </c>
      <c r="E32" s="225">
        <v>526890.87</v>
      </c>
      <c r="F32" s="71"/>
    </row>
    <row r="33" spans="2:6">
      <c r="B33" s="182" t="s">
        <v>4</v>
      </c>
      <c r="C33" s="175" t="s">
        <v>25</v>
      </c>
      <c r="D33" s="203">
        <v>702884.42</v>
      </c>
      <c r="E33" s="226">
        <v>510386.54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3693.05</v>
      </c>
      <c r="E35" s="226">
        <v>3049.48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22619.81</v>
      </c>
      <c r="E37" s="226">
        <v>13454.850000000104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>
        <v>85778.11</v>
      </c>
      <c r="E39" s="227"/>
      <c r="F39" s="71"/>
    </row>
    <row r="40" spans="2:6" ht="13.5" thickBot="1">
      <c r="B40" s="97" t="s">
        <v>35</v>
      </c>
      <c r="C40" s="98" t="s">
        <v>36</v>
      </c>
      <c r="D40" s="205">
        <v>-9505.75</v>
      </c>
      <c r="E40" s="232">
        <v>47586.15</v>
      </c>
    </row>
    <row r="41" spans="2:6" ht="13.5" thickBot="1">
      <c r="B41" s="99" t="s">
        <v>37</v>
      </c>
      <c r="C41" s="100" t="s">
        <v>38</v>
      </c>
      <c r="D41" s="206">
        <v>985073.04999999981</v>
      </c>
      <c r="E41" s="148">
        <f>E26+E27+E40</f>
        <v>505768.33000000007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63"/>
      <c r="D43" s="363"/>
      <c r="E43" s="363"/>
    </row>
    <row r="44" spans="2:6" ht="18" customHeight="1" thickBot="1">
      <c r="B44" s="360" t="s">
        <v>121</v>
      </c>
      <c r="C44" s="364"/>
      <c r="D44" s="364"/>
      <c r="E44" s="364"/>
    </row>
    <row r="45" spans="2:6" ht="13.5" thickBot="1">
      <c r="B45" s="146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7">
        <v>11323.7394</v>
      </c>
      <c r="E47" s="73">
        <v>6287.9678999999996</v>
      </c>
    </row>
    <row r="48" spans="2:6">
      <c r="B48" s="123" t="s">
        <v>6</v>
      </c>
      <c r="C48" s="22" t="s">
        <v>41</v>
      </c>
      <c r="D48" s="207">
        <v>6287.9678999999996</v>
      </c>
      <c r="E48" s="149">
        <v>3066.9355</v>
      </c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02" t="s">
        <v>4</v>
      </c>
      <c r="C50" s="15" t="s">
        <v>40</v>
      </c>
      <c r="D50" s="207">
        <v>156.30000000000001</v>
      </c>
      <c r="E50" s="75">
        <v>156.66</v>
      </c>
    </row>
    <row r="51" spans="2:5">
      <c r="B51" s="102" t="s">
        <v>6</v>
      </c>
      <c r="C51" s="15" t="s">
        <v>114</v>
      </c>
      <c r="D51" s="207">
        <v>149.37</v>
      </c>
      <c r="E51" s="75">
        <v>155.18</v>
      </c>
    </row>
    <row r="52" spans="2:5">
      <c r="B52" s="102" t="s">
        <v>8</v>
      </c>
      <c r="C52" s="15" t="s">
        <v>115</v>
      </c>
      <c r="D52" s="207">
        <v>158</v>
      </c>
      <c r="E52" s="75">
        <v>165.85</v>
      </c>
    </row>
    <row r="53" spans="2:5" ht="13.5" customHeight="1" thickBot="1">
      <c r="B53" s="103" t="s">
        <v>9</v>
      </c>
      <c r="C53" s="17" t="s">
        <v>41</v>
      </c>
      <c r="D53" s="209">
        <v>156.66</v>
      </c>
      <c r="E53" s="233">
        <v>164.91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8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505768.33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505768.33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505768.33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505768.33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opLeftCell="A46" zoomScale="80" zoomScaleNormal="80" workbookViewId="0">
      <selection activeCell="E58" sqref="E58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47"/>
      <c r="C4" s="147"/>
      <c r="D4" s="147"/>
      <c r="E4" s="147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269</v>
      </c>
      <c r="C6" s="359"/>
      <c r="D6" s="359"/>
      <c r="E6" s="359"/>
    </row>
    <row r="7" spans="2:7" ht="14.25">
      <c r="B7" s="220"/>
      <c r="C7" s="220"/>
      <c r="D7" s="220"/>
      <c r="E7" s="220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221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121343.89</v>
      </c>
      <c r="E11" s="244">
        <f>SUM(E12:E14)</f>
        <v>137500.97</v>
      </c>
    </row>
    <row r="12" spans="2:7">
      <c r="B12" s="174" t="s">
        <v>4</v>
      </c>
      <c r="C12" s="175" t="s">
        <v>5</v>
      </c>
      <c r="D12" s="283">
        <v>121343.89</v>
      </c>
      <c r="E12" s="304">
        <v>137500.97</v>
      </c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121343.89</v>
      </c>
      <c r="E21" s="148">
        <f>E11-E17</f>
        <v>137500.97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21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0</v>
      </c>
      <c r="E26" s="231">
        <f>D21</f>
        <v>121343.89</v>
      </c>
    </row>
    <row r="27" spans="2:6">
      <c r="B27" s="9" t="s">
        <v>17</v>
      </c>
      <c r="C27" s="10" t="s">
        <v>111</v>
      </c>
      <c r="D27" s="202">
        <v>142406.06</v>
      </c>
      <c r="E27" s="224">
        <v>-2084.37</v>
      </c>
      <c r="F27" s="71"/>
    </row>
    <row r="28" spans="2:6">
      <c r="B28" s="9" t="s">
        <v>18</v>
      </c>
      <c r="C28" s="10" t="s">
        <v>19</v>
      </c>
      <c r="D28" s="202">
        <v>144145.78</v>
      </c>
      <c r="E28" s="225">
        <v>0</v>
      </c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>
        <v>144145.78</v>
      </c>
      <c r="E31" s="226"/>
      <c r="F31" s="71"/>
    </row>
    <row r="32" spans="2:6">
      <c r="B32" s="92" t="s">
        <v>23</v>
      </c>
      <c r="C32" s="11" t="s">
        <v>24</v>
      </c>
      <c r="D32" s="202">
        <v>1739.72</v>
      </c>
      <c r="E32" s="225">
        <v>2084.37</v>
      </c>
      <c r="F32" s="71"/>
    </row>
    <row r="33" spans="2:6">
      <c r="B33" s="182" t="s">
        <v>4</v>
      </c>
      <c r="C33" s="175" t="s">
        <v>25</v>
      </c>
      <c r="D33" s="203"/>
      <c r="E33" s="226"/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/>
      <c r="E35" s="226"/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1739.72</v>
      </c>
      <c r="E37" s="226">
        <v>2084.37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/>
      <c r="E39" s="227"/>
      <c r="F39" s="71"/>
    </row>
    <row r="40" spans="2:6" ht="13.5" thickBot="1">
      <c r="B40" s="97" t="s">
        <v>35</v>
      </c>
      <c r="C40" s="98" t="s">
        <v>36</v>
      </c>
      <c r="D40" s="205">
        <v>-21062.17</v>
      </c>
      <c r="E40" s="232">
        <v>18241.45</v>
      </c>
    </row>
    <row r="41" spans="2:6" ht="13.5" thickBot="1">
      <c r="B41" s="99" t="s">
        <v>37</v>
      </c>
      <c r="C41" s="100" t="s">
        <v>38</v>
      </c>
      <c r="D41" s="206">
        <v>121343.89</v>
      </c>
      <c r="E41" s="148">
        <f>E26+E27+E40</f>
        <v>137500.97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63"/>
      <c r="D43" s="363"/>
      <c r="E43" s="363"/>
    </row>
    <row r="44" spans="2:6" ht="18" customHeight="1" thickBot="1">
      <c r="B44" s="360" t="s">
        <v>121</v>
      </c>
      <c r="C44" s="364"/>
      <c r="D44" s="364"/>
      <c r="E44" s="364"/>
    </row>
    <row r="45" spans="2:6" ht="13.5" thickBot="1">
      <c r="B45" s="221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7">
        <v>0</v>
      </c>
      <c r="E47" s="73">
        <v>1164.5287000000001</v>
      </c>
    </row>
    <row r="48" spans="2:6">
      <c r="B48" s="123" t="s">
        <v>6</v>
      </c>
      <c r="C48" s="22" t="s">
        <v>41</v>
      </c>
      <c r="D48" s="207">
        <v>1164.5287000000001</v>
      </c>
      <c r="E48" s="149">
        <v>1146.0324000000001</v>
      </c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02" t="s">
        <v>4</v>
      </c>
      <c r="C50" s="15" t="s">
        <v>40</v>
      </c>
      <c r="D50" s="207">
        <v>0</v>
      </c>
      <c r="E50" s="75">
        <v>104.2</v>
      </c>
    </row>
    <row r="51" spans="2:5">
      <c r="B51" s="102" t="s">
        <v>6</v>
      </c>
      <c r="C51" s="15" t="s">
        <v>114</v>
      </c>
      <c r="D51" s="207">
        <v>100.41</v>
      </c>
      <c r="E51" s="75">
        <v>103.42</v>
      </c>
    </row>
    <row r="52" spans="2:5">
      <c r="B52" s="102" t="s">
        <v>8</v>
      </c>
      <c r="C52" s="15" t="s">
        <v>115</v>
      </c>
      <c r="D52" s="207">
        <v>122.27</v>
      </c>
      <c r="E52" s="75">
        <v>119.98</v>
      </c>
    </row>
    <row r="53" spans="2:5" ht="12.75" customHeight="1" thickBot="1">
      <c r="B53" s="103" t="s">
        <v>9</v>
      </c>
      <c r="C53" s="17" t="s">
        <v>41</v>
      </c>
      <c r="D53" s="209">
        <v>104.2</v>
      </c>
      <c r="E53" s="233">
        <v>119.98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8.7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137500.97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3.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137500.97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137500.97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137500.97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56999999999999995" right="0.75" top="0.61" bottom="0.49" header="0.5" footer="0.5"/>
  <pageSetup paperSize="9" scale="70" orientation="portrait" r:id="rId1"/>
  <headerFooter alignWithMargins="0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3"/>
  <dimension ref="A1:F49"/>
  <sheetViews>
    <sheetView zoomScale="80" zoomScaleNormal="80" workbookViewId="0">
      <selection activeCell="G1" sqref="G1:M1048576"/>
    </sheetView>
  </sheetViews>
  <sheetFormatPr defaultRowHeight="12.75"/>
  <cols>
    <col min="3" max="3" width="13.85546875" customWidth="1"/>
    <col min="4" max="4" width="19" customWidth="1"/>
    <col min="5" max="5" width="18.5703125" customWidth="1"/>
    <col min="6" max="6" width="11.28515625" bestFit="1" customWidth="1"/>
  </cols>
  <sheetData>
    <row r="1" spans="1:6">
      <c r="A1" s="32"/>
      <c r="B1" s="33"/>
      <c r="C1" s="33" t="s">
        <v>92</v>
      </c>
      <c r="D1" s="34"/>
      <c r="E1" s="34"/>
      <c r="F1" s="34"/>
    </row>
    <row r="2" spans="1:6">
      <c r="A2" s="32"/>
      <c r="B2" s="33"/>
      <c r="C2" s="33" t="s">
        <v>93</v>
      </c>
      <c r="D2" s="34"/>
      <c r="E2" s="34"/>
      <c r="F2" s="34"/>
    </row>
    <row r="3" spans="1:6">
      <c r="A3" s="32"/>
      <c r="B3" s="33"/>
      <c r="C3" s="33" t="s">
        <v>94</v>
      </c>
      <c r="D3" s="34"/>
      <c r="E3" s="34"/>
      <c r="F3" s="34"/>
    </row>
    <row r="4" spans="1:6">
      <c r="A4" s="32"/>
      <c r="B4" s="33"/>
      <c r="C4" s="33" t="s">
        <v>95</v>
      </c>
      <c r="D4" s="34"/>
      <c r="E4" s="34"/>
      <c r="F4" s="34"/>
    </row>
    <row r="5" spans="1:6">
      <c r="A5" s="32"/>
      <c r="B5" s="33"/>
      <c r="C5" s="33" t="s">
        <v>283</v>
      </c>
      <c r="D5" s="34"/>
      <c r="E5" s="34"/>
      <c r="F5" s="34"/>
    </row>
    <row r="6" spans="1:6" ht="13.5" thickBot="1">
      <c r="A6" s="32"/>
      <c r="B6" s="33"/>
      <c r="C6" s="33"/>
      <c r="D6" s="34"/>
      <c r="E6" s="34"/>
      <c r="F6" s="34"/>
    </row>
    <row r="7" spans="1:6">
      <c r="A7" s="32"/>
      <c r="B7" s="35"/>
      <c r="C7" s="36"/>
      <c r="D7" s="37"/>
      <c r="E7" s="38"/>
      <c r="F7" s="39"/>
    </row>
    <row r="8" spans="1:6">
      <c r="A8" s="32"/>
      <c r="B8" s="40"/>
      <c r="C8" s="41"/>
      <c r="D8" s="42"/>
      <c r="E8" s="43"/>
      <c r="F8" s="39"/>
    </row>
    <row r="9" spans="1:6">
      <c r="A9" s="32"/>
      <c r="B9" s="40"/>
      <c r="C9" s="41"/>
      <c r="D9" s="331">
        <v>43465</v>
      </c>
      <c r="E9" s="332">
        <v>43830</v>
      </c>
      <c r="F9" s="39"/>
    </row>
    <row r="10" spans="1:6" ht="13.5" thickBot="1">
      <c r="A10" s="32"/>
      <c r="B10" s="44"/>
      <c r="C10" s="45"/>
      <c r="D10" s="46"/>
      <c r="E10" s="47"/>
      <c r="F10" s="39"/>
    </row>
    <row r="11" spans="1:6">
      <c r="A11" s="32"/>
      <c r="B11" s="40"/>
      <c r="C11" s="41"/>
      <c r="D11" s="42"/>
      <c r="E11" s="43"/>
      <c r="F11" s="155"/>
    </row>
    <row r="12" spans="1:6">
      <c r="A12" s="32"/>
      <c r="B12" s="40"/>
      <c r="C12" s="41"/>
      <c r="D12" s="48"/>
      <c r="E12" s="49"/>
      <c r="F12" s="155"/>
    </row>
    <row r="13" spans="1:6">
      <c r="A13" s="32"/>
      <c r="B13" s="50" t="s">
        <v>96</v>
      </c>
      <c r="C13" s="51"/>
      <c r="D13" s="52">
        <v>174252017.06</v>
      </c>
      <c r="E13" s="53">
        <v>164218158.41999999</v>
      </c>
      <c r="F13" s="155"/>
    </row>
    <row r="14" spans="1:6">
      <c r="A14" s="32"/>
      <c r="B14" s="50"/>
      <c r="C14" s="51"/>
      <c r="D14" s="54"/>
      <c r="E14" s="55"/>
      <c r="F14" s="155"/>
    </row>
    <row r="15" spans="1:6">
      <c r="A15" s="32"/>
      <c r="B15" s="50"/>
      <c r="C15" s="51"/>
      <c r="D15" s="54"/>
      <c r="E15" s="55"/>
      <c r="F15" s="39"/>
    </row>
    <row r="16" spans="1:6" ht="13.5" thickBot="1">
      <c r="A16" s="32"/>
      <c r="B16" s="50"/>
      <c r="C16" s="51"/>
      <c r="D16" s="54"/>
      <c r="E16" s="55"/>
      <c r="F16" s="39"/>
    </row>
    <row r="17" spans="1:6">
      <c r="A17" s="32"/>
      <c r="B17" s="56"/>
      <c r="C17" s="57"/>
      <c r="D17" s="58"/>
      <c r="E17" s="59"/>
      <c r="F17" s="32"/>
    </row>
    <row r="18" spans="1:6">
      <c r="A18" s="32"/>
      <c r="B18" s="50" t="s">
        <v>97</v>
      </c>
      <c r="C18" s="51"/>
      <c r="D18" s="72">
        <f>SUM('Fundusz Gwarantowany:Generali Akcje Daleki Wschod'!D35)</f>
        <v>23738179.330000021</v>
      </c>
      <c r="E18" s="72">
        <f>SUM('Fundusz Gwarantowany:Generali Akcje Daleki Wschod'!E35)</f>
        <v>22802426.699999996</v>
      </c>
      <c r="F18" s="32"/>
    </row>
    <row r="19" spans="1:6">
      <c r="A19" s="32"/>
      <c r="B19" s="50"/>
      <c r="C19" s="51"/>
      <c r="D19" s="54"/>
      <c r="E19" s="55"/>
      <c r="F19" s="32"/>
    </row>
    <row r="20" spans="1:6" ht="13.5" thickBot="1">
      <c r="A20" s="32"/>
      <c r="B20" s="60"/>
      <c r="C20" s="61"/>
      <c r="D20" s="62"/>
      <c r="E20" s="63"/>
      <c r="F20" s="32"/>
    </row>
    <row r="21" spans="1:6">
      <c r="A21" s="32"/>
      <c r="B21" s="50"/>
      <c r="C21" s="51"/>
      <c r="D21" s="54"/>
      <c r="E21" s="55"/>
      <c r="F21" s="32"/>
    </row>
    <row r="22" spans="1:6">
      <c r="A22" s="32"/>
      <c r="B22" s="50"/>
      <c r="C22" s="51"/>
      <c r="D22" s="54"/>
      <c r="E22" s="55"/>
      <c r="F22" s="32"/>
    </row>
    <row r="23" spans="1:6">
      <c r="A23" s="32"/>
      <c r="B23" s="50" t="s">
        <v>98</v>
      </c>
      <c r="C23" s="51"/>
      <c r="D23" s="54">
        <f>D13-D18</f>
        <v>150513837.72999999</v>
      </c>
      <c r="E23" s="55">
        <f>E13-E18</f>
        <v>141415731.72</v>
      </c>
      <c r="F23" s="32"/>
    </row>
    <row r="24" spans="1:6">
      <c r="A24" s="32"/>
      <c r="B24" s="40"/>
      <c r="C24" s="41"/>
      <c r="D24" s="48"/>
      <c r="E24" s="49"/>
      <c r="F24" s="32"/>
    </row>
    <row r="25" spans="1:6">
      <c r="A25" s="32"/>
      <c r="B25" s="40"/>
      <c r="C25" s="41"/>
      <c r="D25" s="48"/>
      <c r="E25" s="49"/>
      <c r="F25" s="32"/>
    </row>
    <row r="26" spans="1:6" ht="13.5" thickBot="1">
      <c r="A26" s="32"/>
      <c r="B26" s="44"/>
      <c r="C26" s="45"/>
      <c r="D26" s="64"/>
      <c r="E26" s="65"/>
      <c r="F26" s="32"/>
    </row>
    <row r="28" spans="1:6">
      <c r="E28" s="67"/>
    </row>
    <row r="30" spans="1:6">
      <c r="D30" s="71"/>
      <c r="E30" s="71"/>
    </row>
    <row r="31" spans="1:6">
      <c r="D31" s="71"/>
      <c r="E31" s="71"/>
    </row>
    <row r="32" spans="1:6">
      <c r="D32" s="71"/>
      <c r="E32" s="71"/>
    </row>
    <row r="33" spans="4:5">
      <c r="D33" s="71"/>
      <c r="E33" s="71"/>
    </row>
    <row r="34" spans="4:5">
      <c r="D34" s="71"/>
      <c r="E34" s="71"/>
    </row>
    <row r="35" spans="4:5">
      <c r="D35" s="71"/>
      <c r="E35" s="71"/>
    </row>
    <row r="38" spans="4:5">
      <c r="E38" s="71"/>
    </row>
    <row r="39" spans="4:5">
      <c r="E39" s="71"/>
    </row>
    <row r="40" spans="4:5">
      <c r="E40" s="71"/>
    </row>
    <row r="41" spans="4:5">
      <c r="E41" s="71"/>
    </row>
    <row r="42" spans="4:5">
      <c r="E42" s="71"/>
    </row>
    <row r="43" spans="4:5">
      <c r="E43" s="71"/>
    </row>
    <row r="44" spans="4:5">
      <c r="E44" s="71"/>
    </row>
    <row r="45" spans="4:5">
      <c r="D45" s="71"/>
      <c r="E45" s="71"/>
    </row>
    <row r="46" spans="4:5">
      <c r="E46" s="71"/>
    </row>
    <row r="48" spans="4:5">
      <c r="E48" s="71"/>
    </row>
    <row r="49" spans="5:5">
      <c r="E49" s="71"/>
    </row>
  </sheetData>
  <phoneticPr fontId="9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H81"/>
  <sheetViews>
    <sheetView zoomScale="80" zoomScaleNormal="80" workbookViewId="0">
      <selection activeCell="G21" sqref="G2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6.5703125" customWidth="1"/>
    <col min="8" max="8" width="12.42578125" bestFit="1" customWidth="1"/>
  </cols>
  <sheetData>
    <row r="1" spans="2:8">
      <c r="B1" s="1"/>
      <c r="C1" s="1"/>
      <c r="D1" s="2"/>
      <c r="E1" s="2"/>
    </row>
    <row r="2" spans="2:8" ht="15.75">
      <c r="B2" s="357" t="s">
        <v>0</v>
      </c>
      <c r="C2" s="357"/>
      <c r="D2" s="357"/>
      <c r="E2" s="357"/>
      <c r="H2" s="71"/>
    </row>
    <row r="3" spans="2:8" ht="15.75">
      <c r="B3" s="357" t="s">
        <v>267</v>
      </c>
      <c r="C3" s="357"/>
      <c r="D3" s="357"/>
      <c r="E3" s="357"/>
    </row>
    <row r="4" spans="2:8" ht="15">
      <c r="B4" s="87"/>
      <c r="C4" s="87"/>
      <c r="D4" s="87"/>
      <c r="E4" s="87"/>
    </row>
    <row r="5" spans="2:8" ht="21" customHeight="1">
      <c r="B5" s="358" t="s">
        <v>1</v>
      </c>
      <c r="C5" s="358"/>
      <c r="D5" s="358"/>
      <c r="E5" s="358"/>
    </row>
    <row r="6" spans="2:8" ht="14.25">
      <c r="B6" s="359" t="s">
        <v>146</v>
      </c>
      <c r="C6" s="359"/>
      <c r="D6" s="359"/>
      <c r="E6" s="359"/>
    </row>
    <row r="7" spans="2:8" ht="14.25">
      <c r="B7" s="89"/>
      <c r="C7" s="89"/>
      <c r="D7" s="89"/>
      <c r="E7" s="89"/>
    </row>
    <row r="8" spans="2:8" ht="13.5">
      <c r="B8" s="361" t="s">
        <v>18</v>
      </c>
      <c r="C8" s="363"/>
      <c r="D8" s="363"/>
      <c r="E8" s="363"/>
    </row>
    <row r="9" spans="2:8" ht="16.5" thickBot="1">
      <c r="B9" s="360" t="s">
        <v>103</v>
      </c>
      <c r="C9" s="360"/>
      <c r="D9" s="360"/>
      <c r="E9" s="360"/>
    </row>
    <row r="10" spans="2:8" ht="13.5" thickBot="1">
      <c r="B10" s="88"/>
      <c r="C10" s="76" t="s">
        <v>2</v>
      </c>
      <c r="D10" s="70" t="s">
        <v>125</v>
      </c>
      <c r="E10" s="319" t="s">
        <v>268</v>
      </c>
    </row>
    <row r="11" spans="2:8">
      <c r="B11" s="90" t="s">
        <v>3</v>
      </c>
      <c r="C11" s="128" t="s">
        <v>109</v>
      </c>
      <c r="D11" s="243">
        <v>2754905.09</v>
      </c>
      <c r="E11" s="244">
        <f>SUM(E12:E14)</f>
        <v>1755347.36</v>
      </c>
    </row>
    <row r="12" spans="2:8">
      <c r="B12" s="106" t="s">
        <v>4</v>
      </c>
      <c r="C12" s="6" t="s">
        <v>5</v>
      </c>
      <c r="D12" s="283">
        <v>2754905.09</v>
      </c>
      <c r="E12" s="304">
        <f>1593381.3+161966.06</f>
        <v>1755347.36</v>
      </c>
    </row>
    <row r="13" spans="2:8">
      <c r="B13" s="106" t="s">
        <v>6</v>
      </c>
      <c r="C13" s="68" t="s">
        <v>7</v>
      </c>
      <c r="D13" s="276"/>
      <c r="E13" s="305"/>
    </row>
    <row r="14" spans="2:8">
      <c r="B14" s="106" t="s">
        <v>8</v>
      </c>
      <c r="C14" s="68" t="s">
        <v>10</v>
      </c>
      <c r="D14" s="276"/>
      <c r="E14" s="305"/>
    </row>
    <row r="15" spans="2:8">
      <c r="B15" s="106" t="s">
        <v>106</v>
      </c>
      <c r="C15" s="68" t="s">
        <v>11</v>
      </c>
      <c r="D15" s="276"/>
      <c r="E15" s="305"/>
    </row>
    <row r="16" spans="2:8">
      <c r="B16" s="107" t="s">
        <v>107</v>
      </c>
      <c r="C16" s="91" t="s">
        <v>12</v>
      </c>
      <c r="D16" s="278"/>
      <c r="E16" s="306"/>
    </row>
    <row r="17" spans="2:7">
      <c r="B17" s="9" t="s">
        <v>13</v>
      </c>
      <c r="C17" s="11" t="s">
        <v>65</v>
      </c>
      <c r="D17" s="279">
        <v>8296.7000000000007</v>
      </c>
      <c r="E17" s="307">
        <f>E18</f>
        <v>6614.72</v>
      </c>
    </row>
    <row r="18" spans="2:7">
      <c r="B18" s="106" t="s">
        <v>4</v>
      </c>
      <c r="C18" s="6" t="s">
        <v>11</v>
      </c>
      <c r="D18" s="278">
        <v>8296.7000000000007</v>
      </c>
      <c r="E18" s="306">
        <v>6614.72</v>
      </c>
    </row>
    <row r="19" spans="2:7" ht="15" customHeight="1">
      <c r="B19" s="106" t="s">
        <v>6</v>
      </c>
      <c r="C19" s="68" t="s">
        <v>108</v>
      </c>
      <c r="D19" s="276"/>
      <c r="E19" s="305"/>
    </row>
    <row r="20" spans="2:7" ht="13.5" thickBot="1">
      <c r="B20" s="108" t="s">
        <v>8</v>
      </c>
      <c r="C20" s="69" t="s">
        <v>14</v>
      </c>
      <c r="D20" s="245"/>
      <c r="E20" s="246"/>
    </row>
    <row r="21" spans="2:7" ht="13.5" thickBot="1">
      <c r="B21" s="367" t="s">
        <v>110</v>
      </c>
      <c r="C21" s="368"/>
      <c r="D21" s="247">
        <v>2746608.3899999997</v>
      </c>
      <c r="E21" s="148">
        <f>E11-E17</f>
        <v>1748732.6400000001</v>
      </c>
      <c r="F21" s="77"/>
      <c r="G21" s="67"/>
    </row>
    <row r="22" spans="2:7">
      <c r="B22" s="3"/>
      <c r="C22" s="7"/>
      <c r="D22" s="8"/>
      <c r="E22" s="8"/>
    </row>
    <row r="23" spans="2:7" ht="13.5">
      <c r="B23" s="361" t="s">
        <v>104</v>
      </c>
      <c r="C23" s="369"/>
      <c r="D23" s="369"/>
      <c r="E23" s="369"/>
    </row>
    <row r="24" spans="2:7" ht="15.75" customHeight="1" thickBot="1">
      <c r="B24" s="360" t="s">
        <v>105</v>
      </c>
      <c r="C24" s="370"/>
      <c r="D24" s="370"/>
      <c r="E24" s="370"/>
    </row>
    <row r="25" spans="2:7" ht="13.5" thickBot="1">
      <c r="B25" s="88"/>
      <c r="C25" s="5" t="s">
        <v>2</v>
      </c>
      <c r="D25" s="70" t="s">
        <v>125</v>
      </c>
      <c r="E25" s="319" t="s">
        <v>268</v>
      </c>
    </row>
    <row r="26" spans="2:7">
      <c r="B26" s="95" t="s">
        <v>15</v>
      </c>
      <c r="C26" s="96" t="s">
        <v>16</v>
      </c>
      <c r="D26" s="281">
        <v>5353013.5</v>
      </c>
      <c r="E26" s="231">
        <f>D21</f>
        <v>2746608.3899999997</v>
      </c>
    </row>
    <row r="27" spans="2:7">
      <c r="B27" s="9" t="s">
        <v>17</v>
      </c>
      <c r="C27" s="10" t="s">
        <v>111</v>
      </c>
      <c r="D27" s="282">
        <v>-1779526.6899999995</v>
      </c>
      <c r="E27" s="224">
        <v>-1232211.1600000001</v>
      </c>
      <c r="F27" s="71"/>
    </row>
    <row r="28" spans="2:7">
      <c r="B28" s="9" t="s">
        <v>18</v>
      </c>
      <c r="C28" s="10" t="s">
        <v>19</v>
      </c>
      <c r="D28" s="282">
        <v>653218.87</v>
      </c>
      <c r="E28" s="225">
        <v>31059.35</v>
      </c>
      <c r="F28" s="71"/>
    </row>
    <row r="29" spans="2:7">
      <c r="B29" s="104" t="s">
        <v>4</v>
      </c>
      <c r="C29" s="6" t="s">
        <v>20</v>
      </c>
      <c r="D29" s="283"/>
      <c r="E29" s="226"/>
      <c r="F29" s="71"/>
    </row>
    <row r="30" spans="2:7">
      <c r="B30" s="104" t="s">
        <v>6</v>
      </c>
      <c r="C30" s="6" t="s">
        <v>21</v>
      </c>
      <c r="D30" s="283"/>
      <c r="E30" s="226"/>
      <c r="F30" s="71"/>
    </row>
    <row r="31" spans="2:7">
      <c r="B31" s="104" t="s">
        <v>8</v>
      </c>
      <c r="C31" s="6" t="s">
        <v>22</v>
      </c>
      <c r="D31" s="283">
        <v>653218.87</v>
      </c>
      <c r="E31" s="226">
        <v>31059.35</v>
      </c>
      <c r="F31" s="71"/>
    </row>
    <row r="32" spans="2:7">
      <c r="B32" s="92" t="s">
        <v>23</v>
      </c>
      <c r="C32" s="11" t="s">
        <v>24</v>
      </c>
      <c r="D32" s="282">
        <v>2432745.5599999996</v>
      </c>
      <c r="E32" s="225">
        <v>1263270.5100000002</v>
      </c>
      <c r="F32" s="71"/>
    </row>
    <row r="33" spans="2:6">
      <c r="B33" s="104" t="s">
        <v>4</v>
      </c>
      <c r="C33" s="6" t="s">
        <v>25</v>
      </c>
      <c r="D33" s="283">
        <v>1447631.97</v>
      </c>
      <c r="E33" s="226">
        <v>1190605.3400000001</v>
      </c>
      <c r="F33" s="71"/>
    </row>
    <row r="34" spans="2:6">
      <c r="B34" s="104" t="s">
        <v>6</v>
      </c>
      <c r="C34" s="6" t="s">
        <v>26</v>
      </c>
      <c r="D34" s="283"/>
      <c r="E34" s="226"/>
      <c r="F34" s="71"/>
    </row>
    <row r="35" spans="2:6">
      <c r="B35" s="104" t="s">
        <v>8</v>
      </c>
      <c r="C35" s="6" t="s">
        <v>27</v>
      </c>
      <c r="D35" s="283">
        <v>8113.66</v>
      </c>
      <c r="E35" s="226">
        <v>11691.56</v>
      </c>
      <c r="F35" s="71"/>
    </row>
    <row r="36" spans="2:6">
      <c r="B36" s="104" t="s">
        <v>9</v>
      </c>
      <c r="C36" s="6" t="s">
        <v>28</v>
      </c>
      <c r="D36" s="283"/>
      <c r="E36" s="226"/>
      <c r="F36" s="71"/>
    </row>
    <row r="37" spans="2:6" ht="25.5">
      <c r="B37" s="104" t="s">
        <v>29</v>
      </c>
      <c r="C37" s="6" t="s">
        <v>30</v>
      </c>
      <c r="D37" s="283">
        <v>85972.15</v>
      </c>
      <c r="E37" s="226">
        <v>45283.6</v>
      </c>
      <c r="F37" s="71"/>
    </row>
    <row r="38" spans="2:6">
      <c r="B38" s="104" t="s">
        <v>31</v>
      </c>
      <c r="C38" s="6" t="s">
        <v>32</v>
      </c>
      <c r="D38" s="283"/>
      <c r="E38" s="226"/>
      <c r="F38" s="71"/>
    </row>
    <row r="39" spans="2:6">
      <c r="B39" s="105" t="s">
        <v>33</v>
      </c>
      <c r="C39" s="12" t="s">
        <v>34</v>
      </c>
      <c r="D39" s="284">
        <v>891027.78</v>
      </c>
      <c r="E39" s="227">
        <v>15690.01</v>
      </c>
      <c r="F39" s="71"/>
    </row>
    <row r="40" spans="2:6" ht="13.5" thickBot="1">
      <c r="B40" s="97" t="s">
        <v>35</v>
      </c>
      <c r="C40" s="98" t="s">
        <v>36</v>
      </c>
      <c r="D40" s="285">
        <v>-826878.42</v>
      </c>
      <c r="E40" s="232">
        <v>234335.41</v>
      </c>
    </row>
    <row r="41" spans="2:6" ht="13.5" thickBot="1">
      <c r="B41" s="99" t="s">
        <v>37</v>
      </c>
      <c r="C41" s="100" t="s">
        <v>38</v>
      </c>
      <c r="D41" s="247">
        <v>2746608.3900000006</v>
      </c>
      <c r="E41" s="148">
        <f>E26+E27+E40</f>
        <v>1748732.6399999994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63"/>
      <c r="D43" s="363"/>
      <c r="E43" s="363"/>
    </row>
    <row r="44" spans="2:6" ht="18" customHeight="1" thickBot="1">
      <c r="B44" s="360" t="s">
        <v>121</v>
      </c>
      <c r="C44" s="364"/>
      <c r="D44" s="364"/>
      <c r="E44" s="364"/>
    </row>
    <row r="45" spans="2:6" ht="13.5" thickBot="1">
      <c r="B45" s="88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60">
        <v>41791.439200000001</v>
      </c>
      <c r="E47" s="73">
        <v>26010.744999999999</v>
      </c>
    </row>
    <row r="48" spans="2:6">
      <c r="B48" s="123" t="s">
        <v>6</v>
      </c>
      <c r="C48" s="22" t="s">
        <v>41</v>
      </c>
      <c r="D48" s="260">
        <v>26010.744999999999</v>
      </c>
      <c r="E48" s="272">
        <v>14932.1675</v>
      </c>
    </row>
    <row r="49" spans="2:5">
      <c r="B49" s="120" t="s">
        <v>23</v>
      </c>
      <c r="C49" s="124" t="s">
        <v>113</v>
      </c>
      <c r="D49" s="262"/>
      <c r="E49" s="125"/>
    </row>
    <row r="50" spans="2:5">
      <c r="B50" s="102" t="s">
        <v>4</v>
      </c>
      <c r="C50" s="15" t="s">
        <v>40</v>
      </c>
      <c r="D50" s="260">
        <v>128.088756991168</v>
      </c>
      <c r="E50" s="73">
        <v>105.595145006419</v>
      </c>
    </row>
    <row r="51" spans="2:5">
      <c r="B51" s="102" t="s">
        <v>6</v>
      </c>
      <c r="C51" s="15" t="s">
        <v>114</v>
      </c>
      <c r="D51" s="260">
        <v>104.69580000000001</v>
      </c>
      <c r="E51" s="234">
        <v>104.73520000000001</v>
      </c>
    </row>
    <row r="52" spans="2:5">
      <c r="B52" s="102" t="s">
        <v>8</v>
      </c>
      <c r="C52" s="15" t="s">
        <v>115</v>
      </c>
      <c r="D52" s="260">
        <v>134.35290000000001</v>
      </c>
      <c r="E52" s="234">
        <v>117.62260000000001</v>
      </c>
    </row>
    <row r="53" spans="2:5" ht="12.75" customHeight="1" thickBot="1">
      <c r="B53" s="103" t="s">
        <v>9</v>
      </c>
      <c r="C53" s="17" t="s">
        <v>41</v>
      </c>
      <c r="D53" s="209">
        <v>105.595145006419</v>
      </c>
      <c r="E53" s="233">
        <v>117.1118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5.7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SUM(D59:D70)</f>
        <v>1755347.3599999999</v>
      </c>
      <c r="E58" s="31">
        <f>D58/E21</f>
        <v>1.0037825793655912</v>
      </c>
    </row>
    <row r="59" spans="2:5" ht="25.5">
      <c r="B59" s="21" t="s">
        <v>4</v>
      </c>
      <c r="C59" s="22" t="s">
        <v>44</v>
      </c>
      <c r="D59" s="80">
        <v>0</v>
      </c>
      <c r="E59" s="81">
        <v>0</v>
      </c>
    </row>
    <row r="60" spans="2:5" ht="25.5">
      <c r="B60" s="14" t="s">
        <v>6</v>
      </c>
      <c r="C60" s="15" t="s">
        <v>45</v>
      </c>
      <c r="D60" s="78">
        <v>0</v>
      </c>
      <c r="E60" s="79">
        <v>0</v>
      </c>
    </row>
    <row r="61" spans="2:5" ht="13.5" customHeight="1">
      <c r="B61" s="14" t="s">
        <v>8</v>
      </c>
      <c r="C61" s="15" t="s">
        <v>46</v>
      </c>
      <c r="D61" s="78">
        <v>0</v>
      </c>
      <c r="E61" s="79">
        <v>0</v>
      </c>
    </row>
    <row r="62" spans="2:5">
      <c r="B62" s="14" t="s">
        <v>9</v>
      </c>
      <c r="C62" s="15" t="s">
        <v>47</v>
      </c>
      <c r="D62" s="78">
        <v>0</v>
      </c>
      <c r="E62" s="79">
        <v>0</v>
      </c>
    </row>
    <row r="63" spans="2:5">
      <c r="B63" s="14" t="s">
        <v>29</v>
      </c>
      <c r="C63" s="15" t="s">
        <v>48</v>
      </c>
      <c r="D63" s="78">
        <v>0</v>
      </c>
      <c r="E63" s="79">
        <v>0</v>
      </c>
    </row>
    <row r="64" spans="2:5">
      <c r="B64" s="21" t="s">
        <v>31</v>
      </c>
      <c r="C64" s="22" t="s">
        <v>49</v>
      </c>
      <c r="D64" s="269">
        <v>1593381.2999999998</v>
      </c>
      <c r="E64" s="81">
        <f>D64/E21</f>
        <v>0.91116346979147123</v>
      </c>
    </row>
    <row r="65" spans="2:5">
      <c r="B65" s="21" t="s">
        <v>33</v>
      </c>
      <c r="C65" s="22" t="s">
        <v>118</v>
      </c>
      <c r="D65" s="80">
        <v>0</v>
      </c>
      <c r="E65" s="81">
        <v>0</v>
      </c>
    </row>
    <row r="66" spans="2:5">
      <c r="B66" s="21" t="s">
        <v>50</v>
      </c>
      <c r="C66" s="22" t="s">
        <v>51</v>
      </c>
      <c r="D66" s="80">
        <v>0</v>
      </c>
      <c r="E66" s="81">
        <v>0</v>
      </c>
    </row>
    <row r="67" spans="2:5">
      <c r="B67" s="14" t="s">
        <v>52</v>
      </c>
      <c r="C67" s="15" t="s">
        <v>53</v>
      </c>
      <c r="D67" s="78">
        <v>0</v>
      </c>
      <c r="E67" s="79">
        <v>0</v>
      </c>
    </row>
    <row r="68" spans="2:5">
      <c r="B68" s="14" t="s">
        <v>54</v>
      </c>
      <c r="C68" s="15" t="s">
        <v>55</v>
      </c>
      <c r="D68" s="78">
        <v>0</v>
      </c>
      <c r="E68" s="79">
        <v>0</v>
      </c>
    </row>
    <row r="69" spans="2:5">
      <c r="B69" s="14" t="s">
        <v>56</v>
      </c>
      <c r="C69" s="15" t="s">
        <v>57</v>
      </c>
      <c r="D69" s="286">
        <v>161966.06</v>
      </c>
      <c r="E69" s="79">
        <f>D69/E21</f>
        <v>9.2619109574119909E-2</v>
      </c>
    </row>
    <row r="70" spans="2:5">
      <c r="B70" s="112" t="s">
        <v>58</v>
      </c>
      <c r="C70" s="113" t="s">
        <v>59</v>
      </c>
      <c r="D70" s="114">
        <v>0</v>
      </c>
      <c r="E70" s="115">
        <v>0</v>
      </c>
    </row>
    <row r="71" spans="2:5">
      <c r="B71" s="120" t="s">
        <v>23</v>
      </c>
      <c r="C71" s="121" t="s">
        <v>61</v>
      </c>
      <c r="D71" s="122">
        <f>E13</f>
        <v>0</v>
      </c>
      <c r="E71" s="66">
        <f>D71/E21</f>
        <v>0</v>
      </c>
    </row>
    <row r="72" spans="2:5">
      <c r="B72" s="116" t="s">
        <v>60</v>
      </c>
      <c r="C72" s="117" t="s">
        <v>63</v>
      </c>
      <c r="D72" s="118">
        <f>E14</f>
        <v>0</v>
      </c>
      <c r="E72" s="119">
        <f>D72/E21</f>
        <v>0</v>
      </c>
    </row>
    <row r="73" spans="2:5">
      <c r="B73" s="23" t="s">
        <v>62</v>
      </c>
      <c r="C73" s="24" t="s">
        <v>65</v>
      </c>
      <c r="D73" s="25">
        <f>E17</f>
        <v>6614.72</v>
      </c>
      <c r="E73" s="26">
        <f>D73/E21</f>
        <v>3.7825793655913002E-3</v>
      </c>
    </row>
    <row r="74" spans="2:5">
      <c r="B74" s="120" t="s">
        <v>64</v>
      </c>
      <c r="C74" s="121" t="s">
        <v>66</v>
      </c>
      <c r="D74" s="122">
        <f>D58-D73+D71+D72</f>
        <v>1748732.64</v>
      </c>
      <c r="E74" s="66">
        <f>E58+E72-E73</f>
        <v>0.99999999999999989</v>
      </c>
    </row>
    <row r="75" spans="2:5">
      <c r="B75" s="14" t="s">
        <v>4</v>
      </c>
      <c r="C75" s="15" t="s">
        <v>67</v>
      </c>
      <c r="D75" s="78">
        <f>D74-D76</f>
        <v>1256310.6499999999</v>
      </c>
      <c r="E75" s="79">
        <f>D75/E21</f>
        <v>0.7184120781321951</v>
      </c>
    </row>
    <row r="76" spans="2:5">
      <c r="B76" s="14" t="s">
        <v>6</v>
      </c>
      <c r="C76" s="15" t="s">
        <v>119</v>
      </c>
      <c r="D76" s="78">
        <v>492421.99</v>
      </c>
      <c r="E76" s="79">
        <f>D76/E21</f>
        <v>0.28158792186780474</v>
      </c>
    </row>
    <row r="77" spans="2:5" ht="13.5" thickBot="1">
      <c r="B77" s="16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F81"/>
  <sheetViews>
    <sheetView zoomScale="80" zoomScaleNormal="80" workbookViewId="0">
      <selection activeCell="G1" sqref="G1:O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87"/>
      <c r="C4" s="87"/>
      <c r="D4" s="87"/>
      <c r="E4" s="87"/>
    </row>
    <row r="5" spans="2:5" ht="21" customHeight="1">
      <c r="B5" s="358" t="s">
        <v>1</v>
      </c>
      <c r="C5" s="358"/>
      <c r="D5" s="358"/>
      <c r="E5" s="358"/>
    </row>
    <row r="6" spans="2:5" ht="14.25" customHeight="1">
      <c r="B6" s="359" t="s">
        <v>147</v>
      </c>
      <c r="C6" s="359"/>
      <c r="D6" s="359"/>
      <c r="E6" s="359"/>
    </row>
    <row r="7" spans="2:5" ht="14.25">
      <c r="B7" s="89"/>
      <c r="C7" s="89"/>
      <c r="D7" s="89"/>
      <c r="E7" s="89"/>
    </row>
    <row r="8" spans="2:5" ht="13.5">
      <c r="B8" s="361" t="s">
        <v>18</v>
      </c>
      <c r="C8" s="363"/>
      <c r="D8" s="363"/>
      <c r="E8" s="363"/>
    </row>
    <row r="9" spans="2:5" ht="16.5" thickBot="1">
      <c r="B9" s="360" t="s">
        <v>103</v>
      </c>
      <c r="C9" s="360"/>
      <c r="D9" s="360"/>
      <c r="E9" s="360"/>
    </row>
    <row r="10" spans="2:5" ht="13.5" thickBot="1">
      <c r="B10" s="88"/>
      <c r="C10" s="76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28" t="s">
        <v>109</v>
      </c>
      <c r="D11" s="243">
        <v>12920896.110000001</v>
      </c>
      <c r="E11" s="244">
        <f>SUM(E12:E14)</f>
        <v>6778575.1400000006</v>
      </c>
    </row>
    <row r="12" spans="2:5">
      <c r="B12" s="106" t="s">
        <v>4</v>
      </c>
      <c r="C12" s="6" t="s">
        <v>5</v>
      </c>
      <c r="D12" s="283">
        <v>12170896.110000001</v>
      </c>
      <c r="E12" s="304">
        <f>6194557.73+611077.65-27103.89</f>
        <v>6778531.4900000012</v>
      </c>
    </row>
    <row r="13" spans="2:5">
      <c r="B13" s="106" t="s">
        <v>6</v>
      </c>
      <c r="C13" s="68" t="s">
        <v>7</v>
      </c>
      <c r="D13" s="276"/>
      <c r="E13" s="305">
        <v>41.97</v>
      </c>
    </row>
    <row r="14" spans="2:5">
      <c r="B14" s="106" t="s">
        <v>8</v>
      </c>
      <c r="C14" s="68" t="s">
        <v>10</v>
      </c>
      <c r="D14" s="276">
        <v>750000</v>
      </c>
      <c r="E14" s="305">
        <f>E15</f>
        <v>1.68</v>
      </c>
    </row>
    <row r="15" spans="2:5">
      <c r="B15" s="106" t="s">
        <v>106</v>
      </c>
      <c r="C15" s="68" t="s">
        <v>11</v>
      </c>
      <c r="D15" s="276">
        <v>750000</v>
      </c>
      <c r="E15" s="305">
        <v>1.68</v>
      </c>
    </row>
    <row r="16" spans="2:5">
      <c r="B16" s="107" t="s">
        <v>107</v>
      </c>
      <c r="C16" s="91" t="s">
        <v>12</v>
      </c>
      <c r="D16" s="278"/>
      <c r="E16" s="306"/>
    </row>
    <row r="17" spans="2:6">
      <c r="B17" s="9" t="s">
        <v>13</v>
      </c>
      <c r="C17" s="11" t="s">
        <v>65</v>
      </c>
      <c r="D17" s="279">
        <v>732400.8</v>
      </c>
      <c r="E17" s="307">
        <f>E18</f>
        <v>65537.87</v>
      </c>
    </row>
    <row r="18" spans="2:6">
      <c r="B18" s="106" t="s">
        <v>4</v>
      </c>
      <c r="C18" s="6" t="s">
        <v>11</v>
      </c>
      <c r="D18" s="278">
        <v>732400.8</v>
      </c>
      <c r="E18" s="306">
        <v>65537.87</v>
      </c>
    </row>
    <row r="19" spans="2:6" ht="15" customHeight="1">
      <c r="B19" s="106" t="s">
        <v>6</v>
      </c>
      <c r="C19" s="68" t="s">
        <v>108</v>
      </c>
      <c r="D19" s="276"/>
      <c r="E19" s="305"/>
    </row>
    <row r="20" spans="2:6" ht="13.5" thickBot="1">
      <c r="B20" s="108" t="s">
        <v>8</v>
      </c>
      <c r="C20" s="69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12188495.310000001</v>
      </c>
      <c r="E21" s="148">
        <f>E11-E17</f>
        <v>6713037.2700000005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69"/>
      <c r="D23" s="369"/>
      <c r="E23" s="369"/>
    </row>
    <row r="24" spans="2:6" ht="15.75" customHeight="1" thickBot="1">
      <c r="B24" s="360" t="s">
        <v>105</v>
      </c>
      <c r="C24" s="370"/>
      <c r="D24" s="370"/>
      <c r="E24" s="370"/>
    </row>
    <row r="25" spans="2:6" ht="13.5" thickBot="1">
      <c r="B25" s="88"/>
      <c r="C25" s="5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20478679.050000001</v>
      </c>
      <c r="E26" s="231">
        <f>D21</f>
        <v>12188495.310000001</v>
      </c>
    </row>
    <row r="27" spans="2:6">
      <c r="B27" s="9" t="s">
        <v>17</v>
      </c>
      <c r="C27" s="10" t="s">
        <v>111</v>
      </c>
      <c r="D27" s="202">
        <v>-7673347.4399999995</v>
      </c>
      <c r="E27" s="224">
        <f>E28-E32</f>
        <v>-6334673.0399999991</v>
      </c>
      <c r="F27" s="71"/>
    </row>
    <row r="28" spans="2:6">
      <c r="B28" s="9" t="s">
        <v>18</v>
      </c>
      <c r="C28" s="10" t="s">
        <v>19</v>
      </c>
      <c r="D28" s="202">
        <v>160838.16</v>
      </c>
      <c r="E28" s="225">
        <v>52536.12</v>
      </c>
      <c r="F28" s="71"/>
    </row>
    <row r="29" spans="2:6">
      <c r="B29" s="104" t="s">
        <v>4</v>
      </c>
      <c r="C29" s="6" t="s">
        <v>20</v>
      </c>
      <c r="D29" s="203"/>
      <c r="E29" s="226"/>
      <c r="F29" s="71"/>
    </row>
    <row r="30" spans="2:6">
      <c r="B30" s="104" t="s">
        <v>6</v>
      </c>
      <c r="C30" s="6" t="s">
        <v>21</v>
      </c>
      <c r="D30" s="203"/>
      <c r="E30" s="226"/>
      <c r="F30" s="71"/>
    </row>
    <row r="31" spans="2:6">
      <c r="B31" s="104" t="s">
        <v>8</v>
      </c>
      <c r="C31" s="6" t="s">
        <v>22</v>
      </c>
      <c r="D31" s="203">
        <v>160838.16</v>
      </c>
      <c r="E31" s="226">
        <v>52536.12</v>
      </c>
      <c r="F31" s="71"/>
    </row>
    <row r="32" spans="2:6">
      <c r="B32" s="92" t="s">
        <v>23</v>
      </c>
      <c r="C32" s="11" t="s">
        <v>24</v>
      </c>
      <c r="D32" s="202">
        <v>7834185.5999999996</v>
      </c>
      <c r="E32" s="225">
        <f>SUM(E33:E39)</f>
        <v>6387209.1599999992</v>
      </c>
      <c r="F32" s="71"/>
    </row>
    <row r="33" spans="2:6">
      <c r="B33" s="104" t="s">
        <v>4</v>
      </c>
      <c r="C33" s="6" t="s">
        <v>25</v>
      </c>
      <c r="D33" s="203">
        <v>7188222.1600000001</v>
      </c>
      <c r="E33" s="226">
        <f>6031330.17+27103.89</f>
        <v>6058434.0599999996</v>
      </c>
      <c r="F33" s="71"/>
    </row>
    <row r="34" spans="2:6">
      <c r="B34" s="104" t="s">
        <v>6</v>
      </c>
      <c r="C34" s="6" t="s">
        <v>26</v>
      </c>
      <c r="D34" s="203"/>
      <c r="E34" s="226"/>
      <c r="F34" s="71"/>
    </row>
    <row r="35" spans="2:6">
      <c r="B35" s="104" t="s">
        <v>8</v>
      </c>
      <c r="C35" s="6" t="s">
        <v>27</v>
      </c>
      <c r="D35" s="203">
        <v>23852.41</v>
      </c>
      <c r="E35" s="226">
        <v>20950.3</v>
      </c>
      <c r="F35" s="71"/>
    </row>
    <row r="36" spans="2:6">
      <c r="B36" s="104" t="s">
        <v>9</v>
      </c>
      <c r="C36" s="6" t="s">
        <v>28</v>
      </c>
      <c r="D36" s="203"/>
      <c r="E36" s="226"/>
      <c r="F36" s="71"/>
    </row>
    <row r="37" spans="2:6" ht="25.5">
      <c r="B37" s="104" t="s">
        <v>29</v>
      </c>
      <c r="C37" s="6" t="s">
        <v>30</v>
      </c>
      <c r="D37" s="203">
        <v>317277.06</v>
      </c>
      <c r="E37" s="226">
        <v>204098.05</v>
      </c>
      <c r="F37" s="71"/>
    </row>
    <row r="38" spans="2:6">
      <c r="B38" s="104" t="s">
        <v>31</v>
      </c>
      <c r="C38" s="6" t="s">
        <v>32</v>
      </c>
      <c r="D38" s="203"/>
      <c r="E38" s="226"/>
      <c r="F38" s="71"/>
    </row>
    <row r="39" spans="2:6">
      <c r="B39" s="105" t="s">
        <v>33</v>
      </c>
      <c r="C39" s="12" t="s">
        <v>34</v>
      </c>
      <c r="D39" s="204">
        <v>304833.96999999997</v>
      </c>
      <c r="E39" s="227">
        <v>103726.75</v>
      </c>
      <c r="F39" s="71"/>
    </row>
    <row r="40" spans="2:6" ht="13.5" thickBot="1">
      <c r="B40" s="97" t="s">
        <v>35</v>
      </c>
      <c r="C40" s="98" t="s">
        <v>36</v>
      </c>
      <c r="D40" s="205">
        <v>-616836.30000000005</v>
      </c>
      <c r="E40" s="232">
        <v>859215</v>
      </c>
    </row>
    <row r="41" spans="2:6" ht="13.5" thickBot="1">
      <c r="B41" s="99" t="s">
        <v>37</v>
      </c>
      <c r="C41" s="100" t="s">
        <v>38</v>
      </c>
      <c r="D41" s="206">
        <v>12188495.310000001</v>
      </c>
      <c r="E41" s="148">
        <f>E26+E27+E40</f>
        <v>6713037.2700000014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63"/>
      <c r="D43" s="363"/>
      <c r="E43" s="363"/>
    </row>
    <row r="44" spans="2:6" ht="18" customHeight="1" thickBot="1">
      <c r="B44" s="360" t="s">
        <v>121</v>
      </c>
      <c r="C44" s="364"/>
      <c r="D44" s="364"/>
      <c r="E44" s="364"/>
    </row>
    <row r="45" spans="2:6" ht="13.5" thickBot="1">
      <c r="B45" s="88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7">
        <v>183746.82709999999</v>
      </c>
      <c r="E47" s="73">
        <v>113533.9915</v>
      </c>
    </row>
    <row r="48" spans="2:6">
      <c r="B48" s="123" t="s">
        <v>6</v>
      </c>
      <c r="C48" s="22" t="s">
        <v>41</v>
      </c>
      <c r="D48" s="207">
        <v>113533.9915</v>
      </c>
      <c r="E48" s="272">
        <v>57812.837899999999</v>
      </c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02" t="s">
        <v>4</v>
      </c>
      <c r="C50" s="15" t="s">
        <v>40</v>
      </c>
      <c r="D50" s="207">
        <v>111.45051791253</v>
      </c>
      <c r="E50" s="73">
        <v>107.355472567878</v>
      </c>
    </row>
    <row r="51" spans="2:5">
      <c r="B51" s="102" t="s">
        <v>6</v>
      </c>
      <c r="C51" s="15" t="s">
        <v>114</v>
      </c>
      <c r="D51" s="207">
        <v>107.1322</v>
      </c>
      <c r="E51" s="234">
        <v>107.35550000000001</v>
      </c>
    </row>
    <row r="52" spans="2:5">
      <c r="B52" s="102" t="s">
        <v>8</v>
      </c>
      <c r="C52" s="15" t="s">
        <v>115</v>
      </c>
      <c r="D52" s="207">
        <v>112.292</v>
      </c>
      <c r="E52" s="234">
        <v>116.11669999999999</v>
      </c>
    </row>
    <row r="53" spans="2:5" ht="13.5" customHeight="1" thickBot="1">
      <c r="B53" s="103" t="s">
        <v>9</v>
      </c>
      <c r="C53" s="17" t="s">
        <v>41</v>
      </c>
      <c r="D53" s="209">
        <v>107.355472567878</v>
      </c>
      <c r="E53" s="233">
        <v>116.11669999999999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7.2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SUM(D59:D70)</f>
        <v>6778531.4900000012</v>
      </c>
      <c r="E58" s="31">
        <f>D58/E21</f>
        <v>1.0097562723646254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269">
        <f>6194557.73-27103.89</f>
        <v>6167453.8400000008</v>
      </c>
      <c r="E64" s="81">
        <f>D64/E21</f>
        <v>0.91872778176904124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86">
        <v>611077.65</v>
      </c>
      <c r="E69" s="79">
        <f>D69/E21</f>
        <v>9.1028490595584016E-2</v>
      </c>
    </row>
    <row r="70" spans="2:5">
      <c r="B70" s="129" t="s">
        <v>58</v>
      </c>
      <c r="C70" s="113" t="s">
        <v>59</v>
      </c>
      <c r="D70" s="27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f>E13</f>
        <v>41.97</v>
      </c>
      <c r="E71" s="66">
        <f>D71/E21</f>
        <v>6.2520135539184928E-6</v>
      </c>
    </row>
    <row r="72" spans="2:5">
      <c r="B72" s="131" t="s">
        <v>60</v>
      </c>
      <c r="C72" s="117" t="s">
        <v>63</v>
      </c>
      <c r="D72" s="118">
        <f>E14</f>
        <v>1.68</v>
      </c>
      <c r="E72" s="119">
        <f>D72/E21</f>
        <v>2.5025929879873879E-7</v>
      </c>
    </row>
    <row r="73" spans="2:5">
      <c r="B73" s="132" t="s">
        <v>62</v>
      </c>
      <c r="C73" s="24" t="s">
        <v>65</v>
      </c>
      <c r="D73" s="25">
        <f>E17</f>
        <v>65537.87</v>
      </c>
      <c r="E73" s="26">
        <f>D73/E21</f>
        <v>9.762774637477916E-3</v>
      </c>
    </row>
    <row r="74" spans="2:5">
      <c r="B74" s="130" t="s">
        <v>64</v>
      </c>
      <c r="C74" s="121" t="s">
        <v>66</v>
      </c>
      <c r="D74" s="122">
        <f>D58-D73+D71+D72</f>
        <v>6713037.2700000005</v>
      </c>
      <c r="E74" s="66">
        <f>E58+E72-E73+E71</f>
        <v>1.0000000000000002</v>
      </c>
    </row>
    <row r="75" spans="2:5">
      <c r="B75" s="102" t="s">
        <v>4</v>
      </c>
      <c r="C75" s="15" t="s">
        <v>67</v>
      </c>
      <c r="D75" s="78">
        <f>D74</f>
        <v>6713037.2700000005</v>
      </c>
      <c r="E75" s="79">
        <f>D75/E21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f>D76/E21</f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F81"/>
  <sheetViews>
    <sheetView zoomScale="80" zoomScaleNormal="80" workbookViewId="0">
      <selection activeCell="N29" sqref="N29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85"/>
      <c r="C4" s="85"/>
      <c r="D4" s="85"/>
      <c r="E4" s="85"/>
    </row>
    <row r="5" spans="2:5" ht="14.25">
      <c r="B5" s="358" t="s">
        <v>1</v>
      </c>
      <c r="C5" s="358"/>
      <c r="D5" s="358"/>
      <c r="E5" s="358"/>
    </row>
    <row r="6" spans="2:5" ht="14.25">
      <c r="B6" s="359" t="s">
        <v>85</v>
      </c>
      <c r="C6" s="359"/>
      <c r="D6" s="359"/>
      <c r="E6" s="359"/>
    </row>
    <row r="7" spans="2:5" ht="14.25">
      <c r="B7" s="89"/>
      <c r="C7" s="89"/>
      <c r="D7" s="89"/>
      <c r="E7" s="89"/>
    </row>
    <row r="8" spans="2:5" ht="13.5">
      <c r="B8" s="361" t="s">
        <v>18</v>
      </c>
      <c r="C8" s="363"/>
      <c r="D8" s="363"/>
      <c r="E8" s="363"/>
    </row>
    <row r="9" spans="2:5" ht="16.5" thickBot="1">
      <c r="B9" s="360" t="s">
        <v>103</v>
      </c>
      <c r="C9" s="360"/>
      <c r="D9" s="360"/>
      <c r="E9" s="360"/>
    </row>
    <row r="10" spans="2:5" ht="13.5" thickBot="1">
      <c r="B10" s="86"/>
      <c r="C10" s="76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94" t="s">
        <v>109</v>
      </c>
      <c r="D11" s="243">
        <v>167229127.84</v>
      </c>
      <c r="E11" s="244">
        <f>SUM(E12:E14)</f>
        <v>170768562.52000001</v>
      </c>
    </row>
    <row r="12" spans="2:5">
      <c r="B12" s="106" t="s">
        <v>4</v>
      </c>
      <c r="C12" s="195" t="s">
        <v>5</v>
      </c>
      <c r="D12" s="283">
        <v>166445549.41</v>
      </c>
      <c r="E12" s="304">
        <f>175884744.37+100480.43-5785261.62</f>
        <v>170199963.18000001</v>
      </c>
    </row>
    <row r="13" spans="2:5">
      <c r="B13" s="106" t="s">
        <v>6</v>
      </c>
      <c r="C13" s="195" t="s">
        <v>7</v>
      </c>
      <c r="D13" s="276"/>
      <c r="E13" s="305"/>
    </row>
    <row r="14" spans="2:5">
      <c r="B14" s="106" t="s">
        <v>8</v>
      </c>
      <c r="C14" s="195" t="s">
        <v>10</v>
      </c>
      <c r="D14" s="276">
        <v>783578.42999999993</v>
      </c>
      <c r="E14" s="305">
        <f>E15</f>
        <v>568599.34</v>
      </c>
    </row>
    <row r="15" spans="2:5">
      <c r="B15" s="106" t="s">
        <v>106</v>
      </c>
      <c r="C15" s="195" t="s">
        <v>11</v>
      </c>
      <c r="D15" s="276">
        <v>783578.42999999993</v>
      </c>
      <c r="E15" s="305">
        <v>568599.34</v>
      </c>
    </row>
    <row r="16" spans="2:5">
      <c r="B16" s="107" t="s">
        <v>107</v>
      </c>
      <c r="C16" s="196" t="s">
        <v>12</v>
      </c>
      <c r="D16" s="278"/>
      <c r="E16" s="306"/>
    </row>
    <row r="17" spans="2:6">
      <c r="B17" s="9" t="s">
        <v>13</v>
      </c>
      <c r="C17" s="197" t="s">
        <v>65</v>
      </c>
      <c r="D17" s="279">
        <v>249581.26</v>
      </c>
      <c r="E17" s="307">
        <f>E18</f>
        <v>519939.78</v>
      </c>
    </row>
    <row r="18" spans="2:6">
      <c r="B18" s="106" t="s">
        <v>4</v>
      </c>
      <c r="C18" s="195" t="s">
        <v>11</v>
      </c>
      <c r="D18" s="278">
        <v>249581.26</v>
      </c>
      <c r="E18" s="306">
        <v>519939.78</v>
      </c>
    </row>
    <row r="19" spans="2:6" ht="15" customHeight="1">
      <c r="B19" s="106" t="s">
        <v>6</v>
      </c>
      <c r="C19" s="195" t="s">
        <v>108</v>
      </c>
      <c r="D19" s="276"/>
      <c r="E19" s="305"/>
    </row>
    <row r="20" spans="2:6" ht="13.5" thickBot="1">
      <c r="B20" s="108" t="s">
        <v>8</v>
      </c>
      <c r="C20" s="69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166979546.58000001</v>
      </c>
      <c r="E21" s="148">
        <f>E11-E17</f>
        <v>170248622.74000001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69"/>
      <c r="D23" s="369"/>
      <c r="E23" s="369"/>
    </row>
    <row r="24" spans="2:6" ht="15.75" customHeight="1" thickBot="1">
      <c r="B24" s="360" t="s">
        <v>105</v>
      </c>
      <c r="C24" s="370"/>
      <c r="D24" s="370"/>
      <c r="E24" s="370"/>
    </row>
    <row r="25" spans="2:6" ht="13.5" thickBot="1">
      <c r="B25" s="86"/>
      <c r="C25" s="5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185521256.25999999</v>
      </c>
      <c r="E26" s="231">
        <f>D21</f>
        <v>166979546.58000001</v>
      </c>
    </row>
    <row r="27" spans="2:6">
      <c r="B27" s="9" t="s">
        <v>17</v>
      </c>
      <c r="C27" s="10" t="s">
        <v>111</v>
      </c>
      <c r="D27" s="202">
        <v>-5283658.84</v>
      </c>
      <c r="E27" s="224">
        <f>E28-E32</f>
        <v>-4052526.5800000019</v>
      </c>
      <c r="F27" s="71"/>
    </row>
    <row r="28" spans="2:6">
      <c r="B28" s="9" t="s">
        <v>18</v>
      </c>
      <c r="C28" s="10" t="s">
        <v>19</v>
      </c>
      <c r="D28" s="202">
        <v>22567926.600000001</v>
      </c>
      <c r="E28" s="225">
        <v>22441449.549999997</v>
      </c>
      <c r="F28" s="71"/>
    </row>
    <row r="29" spans="2:6">
      <c r="B29" s="104" t="s">
        <v>4</v>
      </c>
      <c r="C29" s="6" t="s">
        <v>20</v>
      </c>
      <c r="D29" s="203">
        <v>21409337.189999998</v>
      </c>
      <c r="E29" s="226">
        <v>20505596.890000001</v>
      </c>
      <c r="F29" s="71"/>
    </row>
    <row r="30" spans="2:6">
      <c r="B30" s="104" t="s">
        <v>6</v>
      </c>
      <c r="C30" s="6" t="s">
        <v>21</v>
      </c>
      <c r="D30" s="203"/>
      <c r="E30" s="226"/>
      <c r="F30" s="71"/>
    </row>
    <row r="31" spans="2:6">
      <c r="B31" s="104" t="s">
        <v>8</v>
      </c>
      <c r="C31" s="6" t="s">
        <v>22</v>
      </c>
      <c r="D31" s="203">
        <v>1158589.4100000001</v>
      </c>
      <c r="E31" s="226">
        <v>1935852.6600000001</v>
      </c>
      <c r="F31" s="71"/>
    </row>
    <row r="32" spans="2:6">
      <c r="B32" s="92" t="s">
        <v>23</v>
      </c>
      <c r="C32" s="11" t="s">
        <v>24</v>
      </c>
      <c r="D32" s="202">
        <v>27851585.440000001</v>
      </c>
      <c r="E32" s="225">
        <f>SUM(E33:E39)</f>
        <v>26493976.129999999</v>
      </c>
      <c r="F32" s="71"/>
    </row>
    <row r="33" spans="2:6">
      <c r="B33" s="104" t="s">
        <v>4</v>
      </c>
      <c r="C33" s="6" t="s">
        <v>25</v>
      </c>
      <c r="D33" s="203">
        <v>22522858.690000001</v>
      </c>
      <c r="E33" s="226">
        <f>21440469.54-1051280.26</f>
        <v>20389189.279999997</v>
      </c>
      <c r="F33" s="71"/>
    </row>
    <row r="34" spans="2:6">
      <c r="B34" s="104" t="s">
        <v>6</v>
      </c>
      <c r="C34" s="6" t="s">
        <v>26</v>
      </c>
      <c r="D34" s="203"/>
      <c r="E34" s="226"/>
      <c r="F34" s="71"/>
    </row>
    <row r="35" spans="2:6">
      <c r="B35" s="104" t="s">
        <v>8</v>
      </c>
      <c r="C35" s="6" t="s">
        <v>27</v>
      </c>
      <c r="D35" s="203">
        <v>3909750.6999999997</v>
      </c>
      <c r="E35" s="226">
        <v>3788289.06</v>
      </c>
      <c r="F35" s="71"/>
    </row>
    <row r="36" spans="2:6">
      <c r="B36" s="104" t="s">
        <v>9</v>
      </c>
      <c r="C36" s="6" t="s">
        <v>28</v>
      </c>
      <c r="D36" s="203"/>
      <c r="E36" s="226"/>
      <c r="F36" s="71"/>
    </row>
    <row r="37" spans="2:6" ht="25.5">
      <c r="B37" s="104" t="s">
        <v>29</v>
      </c>
      <c r="C37" s="6" t="s">
        <v>30</v>
      </c>
      <c r="D37" s="203"/>
      <c r="E37" s="226"/>
      <c r="F37" s="71"/>
    </row>
    <row r="38" spans="2:6">
      <c r="B38" s="104" t="s">
        <v>31</v>
      </c>
      <c r="C38" s="6" t="s">
        <v>32</v>
      </c>
      <c r="D38" s="203"/>
      <c r="E38" s="226"/>
      <c r="F38" s="71"/>
    </row>
    <row r="39" spans="2:6">
      <c r="B39" s="105" t="s">
        <v>33</v>
      </c>
      <c r="C39" s="12" t="s">
        <v>34</v>
      </c>
      <c r="D39" s="204">
        <v>1418976.05</v>
      </c>
      <c r="E39" s="227">
        <v>2316497.7900000033</v>
      </c>
      <c r="F39" s="71"/>
    </row>
    <row r="40" spans="2:6" ht="13.5" thickBot="1">
      <c r="B40" s="97" t="s">
        <v>35</v>
      </c>
      <c r="C40" s="98" t="s">
        <v>36</v>
      </c>
      <c r="D40" s="205">
        <v>-13258050.84</v>
      </c>
      <c r="E40" s="232">
        <v>7321602.7400000002</v>
      </c>
    </row>
    <row r="41" spans="2:6" ht="13.5" thickBot="1">
      <c r="B41" s="99" t="s">
        <v>37</v>
      </c>
      <c r="C41" s="100" t="s">
        <v>38</v>
      </c>
      <c r="D41" s="206">
        <v>166979546.57999998</v>
      </c>
      <c r="E41" s="148">
        <f>E26+E27+E40</f>
        <v>170248622.74000001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63"/>
      <c r="D43" s="363"/>
      <c r="E43" s="363"/>
    </row>
    <row r="44" spans="2:6" ht="15.75" customHeight="1" thickBot="1">
      <c r="B44" s="360" t="s">
        <v>121</v>
      </c>
      <c r="C44" s="364"/>
      <c r="D44" s="364"/>
      <c r="E44" s="364"/>
    </row>
    <row r="45" spans="2:6" ht="13.5" thickBot="1">
      <c r="B45" s="86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217"/>
      <c r="E46" s="28"/>
    </row>
    <row r="47" spans="2:6">
      <c r="B47" s="102" t="s">
        <v>4</v>
      </c>
      <c r="C47" s="15" t="s">
        <v>40</v>
      </c>
      <c r="D47" s="260">
        <v>9269398.1071000006</v>
      </c>
      <c r="E47" s="261">
        <v>8972178.9675999992</v>
      </c>
    </row>
    <row r="48" spans="2:6">
      <c r="B48" s="123" t="s">
        <v>6</v>
      </c>
      <c r="C48" s="22" t="s">
        <v>41</v>
      </c>
      <c r="D48" s="260">
        <v>8972178.9675999992</v>
      </c>
      <c r="E48" s="264">
        <v>8775867.4966000002</v>
      </c>
    </row>
    <row r="49" spans="2:5">
      <c r="B49" s="120" t="s">
        <v>23</v>
      </c>
      <c r="C49" s="124" t="s">
        <v>113</v>
      </c>
      <c r="D49" s="262"/>
      <c r="E49" s="211"/>
    </row>
    <row r="50" spans="2:5">
      <c r="B50" s="102" t="s">
        <v>4</v>
      </c>
      <c r="C50" s="15" t="s">
        <v>40</v>
      </c>
      <c r="D50" s="260">
        <v>20.014380018663999</v>
      </c>
      <c r="E50" s="261">
        <v>18.610813179687199</v>
      </c>
    </row>
    <row r="51" spans="2:5">
      <c r="B51" s="102" t="s">
        <v>6</v>
      </c>
      <c r="C51" s="15" t="s">
        <v>114</v>
      </c>
      <c r="D51" s="260">
        <v>18.4039</v>
      </c>
      <c r="E51" s="235">
        <v>18.6022</v>
      </c>
    </row>
    <row r="52" spans="2:5">
      <c r="B52" s="102" t="s">
        <v>8</v>
      </c>
      <c r="C52" s="15" t="s">
        <v>115</v>
      </c>
      <c r="D52" s="260">
        <v>20.590399999999999</v>
      </c>
      <c r="E52" s="235">
        <v>19.596399999999999</v>
      </c>
    </row>
    <row r="53" spans="2:5" ht="13.5" thickBot="1">
      <c r="B53" s="103" t="s">
        <v>9</v>
      </c>
      <c r="C53" s="17" t="s">
        <v>41</v>
      </c>
      <c r="D53" s="209">
        <v>18.610813179687199</v>
      </c>
      <c r="E53" s="233">
        <v>19.3996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7.2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D64+D69</f>
        <v>170199963.18000001</v>
      </c>
      <c r="E58" s="31">
        <f>D58/E21</f>
        <v>0.99971418529432499</v>
      </c>
    </row>
    <row r="59" spans="2:5" ht="25.5">
      <c r="B59" s="21" t="s">
        <v>4</v>
      </c>
      <c r="C59" s="22" t="s">
        <v>44</v>
      </c>
      <c r="D59" s="80">
        <v>0</v>
      </c>
      <c r="E59" s="81">
        <v>0</v>
      </c>
    </row>
    <row r="60" spans="2:5" ht="25.5">
      <c r="B60" s="14" t="s">
        <v>6</v>
      </c>
      <c r="C60" s="15" t="s">
        <v>45</v>
      </c>
      <c r="D60" s="78">
        <v>0</v>
      </c>
      <c r="E60" s="79">
        <v>0</v>
      </c>
    </row>
    <row r="61" spans="2:5">
      <c r="B61" s="14" t="s">
        <v>8</v>
      </c>
      <c r="C61" s="15" t="s">
        <v>46</v>
      </c>
      <c r="D61" s="78">
        <v>0</v>
      </c>
      <c r="E61" s="79">
        <v>0</v>
      </c>
    </row>
    <row r="62" spans="2:5">
      <c r="B62" s="14" t="s">
        <v>9</v>
      </c>
      <c r="C62" s="15" t="s">
        <v>47</v>
      </c>
      <c r="D62" s="78">
        <v>0</v>
      </c>
      <c r="E62" s="79">
        <v>0</v>
      </c>
    </row>
    <row r="63" spans="2:5">
      <c r="B63" s="14" t="s">
        <v>29</v>
      </c>
      <c r="C63" s="15" t="s">
        <v>48</v>
      </c>
      <c r="D63" s="78">
        <v>0</v>
      </c>
      <c r="E63" s="79">
        <v>0</v>
      </c>
    </row>
    <row r="64" spans="2:5">
      <c r="B64" s="21" t="s">
        <v>31</v>
      </c>
      <c r="C64" s="22" t="s">
        <v>49</v>
      </c>
      <c r="D64" s="80">
        <f>175884744.37-5785261.62</f>
        <v>170099482.75</v>
      </c>
      <c r="E64" s="81">
        <f>D64/E21</f>
        <v>0.99912398709839922</v>
      </c>
    </row>
    <row r="65" spans="2:5">
      <c r="B65" s="21" t="s">
        <v>33</v>
      </c>
      <c r="C65" s="22" t="s">
        <v>118</v>
      </c>
      <c r="D65" s="80">
        <v>0</v>
      </c>
      <c r="E65" s="81">
        <v>0</v>
      </c>
    </row>
    <row r="66" spans="2:5">
      <c r="B66" s="21" t="s">
        <v>50</v>
      </c>
      <c r="C66" s="22" t="s">
        <v>51</v>
      </c>
      <c r="D66" s="80">
        <v>0</v>
      </c>
      <c r="E66" s="81">
        <v>0</v>
      </c>
    </row>
    <row r="67" spans="2:5">
      <c r="B67" s="14" t="s">
        <v>52</v>
      </c>
      <c r="C67" s="15" t="s">
        <v>53</v>
      </c>
      <c r="D67" s="78">
        <v>0</v>
      </c>
      <c r="E67" s="79">
        <v>0</v>
      </c>
    </row>
    <row r="68" spans="2:5">
      <c r="B68" s="14" t="s">
        <v>54</v>
      </c>
      <c r="C68" s="15" t="s">
        <v>55</v>
      </c>
      <c r="D68" s="78">
        <v>0</v>
      </c>
      <c r="E68" s="79">
        <v>0</v>
      </c>
    </row>
    <row r="69" spans="2:5">
      <c r="B69" s="14" t="s">
        <v>56</v>
      </c>
      <c r="C69" s="15" t="s">
        <v>57</v>
      </c>
      <c r="D69" s="274">
        <v>100480.43</v>
      </c>
      <c r="E69" s="79">
        <f>D69/E21</f>
        <v>5.9019819592579913E-4</v>
      </c>
    </row>
    <row r="70" spans="2:5">
      <c r="B70" s="112" t="s">
        <v>58</v>
      </c>
      <c r="C70" s="113" t="s">
        <v>59</v>
      </c>
      <c r="D70" s="114">
        <v>0</v>
      </c>
      <c r="E70" s="115">
        <v>0</v>
      </c>
    </row>
    <row r="71" spans="2:5">
      <c r="B71" s="120" t="s">
        <v>23</v>
      </c>
      <c r="C71" s="121" t="s">
        <v>61</v>
      </c>
      <c r="D71" s="122">
        <f>E13</f>
        <v>0</v>
      </c>
      <c r="E71" s="66">
        <v>0</v>
      </c>
    </row>
    <row r="72" spans="2:5">
      <c r="B72" s="116" t="s">
        <v>60</v>
      </c>
      <c r="C72" s="117" t="s">
        <v>63</v>
      </c>
      <c r="D72" s="118">
        <f>E14</f>
        <v>568599.34</v>
      </c>
      <c r="E72" s="119">
        <f>D72/E21</f>
        <v>3.3398175612166479E-3</v>
      </c>
    </row>
    <row r="73" spans="2:5">
      <c r="B73" s="23" t="s">
        <v>62</v>
      </c>
      <c r="C73" s="24" t="s">
        <v>65</v>
      </c>
      <c r="D73" s="25">
        <f>E17</f>
        <v>519939.78</v>
      </c>
      <c r="E73" s="26">
        <f>D73/E21</f>
        <v>3.0540028555416905E-3</v>
      </c>
    </row>
    <row r="74" spans="2:5">
      <c r="B74" s="120" t="s">
        <v>64</v>
      </c>
      <c r="C74" s="121" t="s">
        <v>66</v>
      </c>
      <c r="D74" s="122">
        <f>D58+D71+D72-D73</f>
        <v>170248622.74000001</v>
      </c>
      <c r="E74" s="66">
        <f>E58+E72-E73</f>
        <v>1</v>
      </c>
    </row>
    <row r="75" spans="2:5">
      <c r="B75" s="14" t="s">
        <v>4</v>
      </c>
      <c r="C75" s="15" t="s">
        <v>67</v>
      </c>
      <c r="D75" s="78">
        <f>D74</f>
        <v>170248622.74000001</v>
      </c>
      <c r="E75" s="79">
        <f>E74</f>
        <v>1</v>
      </c>
    </row>
    <row r="76" spans="2:5">
      <c r="B76" s="14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6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A1:H81"/>
  <sheetViews>
    <sheetView zoomScale="80" zoomScaleNormal="80" workbookViewId="0">
      <selection activeCell="G1" sqref="G1:J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1.140625" customWidth="1"/>
    <col min="8" max="8" width="12.42578125" bestFit="1" customWidth="1"/>
  </cols>
  <sheetData>
    <row r="1" spans="2:8">
      <c r="B1" s="1"/>
      <c r="C1" s="1"/>
      <c r="D1" s="2"/>
      <c r="E1" s="2"/>
    </row>
    <row r="2" spans="2:8" ht="15.75">
      <c r="B2" s="357" t="s">
        <v>0</v>
      </c>
      <c r="C2" s="357"/>
      <c r="D2" s="357"/>
      <c r="E2" s="357"/>
      <c r="H2" s="71"/>
    </row>
    <row r="3" spans="2:8" ht="15.75">
      <c r="B3" s="357" t="s">
        <v>267</v>
      </c>
      <c r="C3" s="357"/>
      <c r="D3" s="357"/>
      <c r="E3" s="357"/>
    </row>
    <row r="4" spans="2:8" ht="15">
      <c r="B4" s="147"/>
      <c r="C4" s="147"/>
      <c r="D4" s="147"/>
      <c r="E4" s="147"/>
    </row>
    <row r="5" spans="2:8" ht="14.25">
      <c r="B5" s="358" t="s">
        <v>1</v>
      </c>
      <c r="C5" s="358"/>
      <c r="D5" s="358"/>
      <c r="E5" s="358"/>
    </row>
    <row r="6" spans="2:8" ht="14.25">
      <c r="B6" s="359" t="s">
        <v>148</v>
      </c>
      <c r="C6" s="359"/>
      <c r="D6" s="359"/>
      <c r="E6" s="359"/>
    </row>
    <row r="7" spans="2:8" ht="14.25">
      <c r="B7" s="150"/>
      <c r="C7" s="150"/>
      <c r="D7" s="150"/>
      <c r="E7" s="150"/>
    </row>
    <row r="8" spans="2:8" ht="13.5">
      <c r="B8" s="361" t="s">
        <v>18</v>
      </c>
      <c r="C8" s="363"/>
      <c r="D8" s="363"/>
      <c r="E8" s="363"/>
    </row>
    <row r="9" spans="2:8" ht="16.5" thickBot="1">
      <c r="B9" s="360" t="s">
        <v>103</v>
      </c>
      <c r="C9" s="360"/>
      <c r="D9" s="360"/>
      <c r="E9" s="360"/>
    </row>
    <row r="10" spans="2:8" ht="13.5" thickBot="1">
      <c r="B10" s="151"/>
      <c r="C10" s="76" t="s">
        <v>2</v>
      </c>
      <c r="D10" s="70" t="s">
        <v>125</v>
      </c>
      <c r="E10" s="319" t="s">
        <v>268</v>
      </c>
    </row>
    <row r="11" spans="2:8">
      <c r="B11" s="90" t="s">
        <v>3</v>
      </c>
      <c r="C11" s="128" t="s">
        <v>109</v>
      </c>
      <c r="D11" s="243">
        <v>191426.72</v>
      </c>
      <c r="E11" s="244">
        <f>SUM(E12:E14)</f>
        <v>74478.210000000006</v>
      </c>
    </row>
    <row r="12" spans="2:8">
      <c r="B12" s="106" t="s">
        <v>4</v>
      </c>
      <c r="C12" s="6" t="s">
        <v>5</v>
      </c>
      <c r="D12" s="283">
        <v>191426.72</v>
      </c>
      <c r="E12" s="304">
        <f>67918.02+6560.19</f>
        <v>74478.210000000006</v>
      </c>
    </row>
    <row r="13" spans="2:8">
      <c r="B13" s="106" t="s">
        <v>6</v>
      </c>
      <c r="C13" s="68" t="s">
        <v>7</v>
      </c>
      <c r="D13" s="276"/>
      <c r="E13" s="305"/>
    </row>
    <row r="14" spans="2:8">
      <c r="B14" s="106" t="s">
        <v>8</v>
      </c>
      <c r="C14" s="68" t="s">
        <v>10</v>
      </c>
      <c r="D14" s="276"/>
      <c r="E14" s="305"/>
    </row>
    <row r="15" spans="2:8">
      <c r="B15" s="106" t="s">
        <v>106</v>
      </c>
      <c r="C15" s="68" t="s">
        <v>11</v>
      </c>
      <c r="D15" s="276"/>
      <c r="E15" s="305"/>
    </row>
    <row r="16" spans="2:8">
      <c r="B16" s="107" t="s">
        <v>107</v>
      </c>
      <c r="C16" s="91" t="s">
        <v>12</v>
      </c>
      <c r="D16" s="278"/>
      <c r="E16" s="306"/>
    </row>
    <row r="17" spans="2:7">
      <c r="B17" s="9" t="s">
        <v>13</v>
      </c>
      <c r="C17" s="11" t="s">
        <v>65</v>
      </c>
      <c r="D17" s="279"/>
      <c r="E17" s="307"/>
    </row>
    <row r="18" spans="2:7">
      <c r="B18" s="106" t="s">
        <v>4</v>
      </c>
      <c r="C18" s="6" t="s">
        <v>11</v>
      </c>
      <c r="D18" s="278"/>
      <c r="E18" s="306"/>
    </row>
    <row r="19" spans="2:7" ht="15" customHeight="1">
      <c r="B19" s="106" t="s">
        <v>6</v>
      </c>
      <c r="C19" s="68" t="s">
        <v>108</v>
      </c>
      <c r="D19" s="276"/>
      <c r="E19" s="305"/>
    </row>
    <row r="20" spans="2:7" ht="13.5" thickBot="1">
      <c r="B20" s="108" t="s">
        <v>8</v>
      </c>
      <c r="C20" s="69" t="s">
        <v>14</v>
      </c>
      <c r="D20" s="245"/>
      <c r="E20" s="246"/>
    </row>
    <row r="21" spans="2:7" ht="13.5" thickBot="1">
      <c r="B21" s="367" t="s">
        <v>110</v>
      </c>
      <c r="C21" s="368"/>
      <c r="D21" s="247">
        <v>191426.72</v>
      </c>
      <c r="E21" s="148">
        <f>E11-E17</f>
        <v>74478.210000000006</v>
      </c>
      <c r="F21" s="77"/>
      <c r="G21" s="164">
        <f>E21-E41</f>
        <v>0</v>
      </c>
    </row>
    <row r="22" spans="2:7">
      <c r="B22" s="3"/>
      <c r="C22" s="7"/>
      <c r="D22" s="8"/>
      <c r="E22" s="8"/>
    </row>
    <row r="23" spans="2:7" ht="13.5">
      <c r="B23" s="361" t="s">
        <v>104</v>
      </c>
      <c r="C23" s="369"/>
      <c r="D23" s="369"/>
      <c r="E23" s="369"/>
    </row>
    <row r="24" spans="2:7" ht="15.75" customHeight="1" thickBot="1">
      <c r="B24" s="360" t="s">
        <v>105</v>
      </c>
      <c r="C24" s="370"/>
      <c r="D24" s="370"/>
      <c r="E24" s="370"/>
    </row>
    <row r="25" spans="2:7" ht="13.5" thickBot="1">
      <c r="B25" s="151"/>
      <c r="C25" s="5" t="s">
        <v>2</v>
      </c>
      <c r="D25" s="70" t="s">
        <v>125</v>
      </c>
      <c r="E25" s="319" t="s">
        <v>268</v>
      </c>
    </row>
    <row r="26" spans="2:7">
      <c r="B26" s="95" t="s">
        <v>15</v>
      </c>
      <c r="C26" s="96" t="s">
        <v>16</v>
      </c>
      <c r="D26" s="201">
        <v>203194.14</v>
      </c>
      <c r="E26" s="231">
        <f>D21</f>
        <v>191426.72</v>
      </c>
    </row>
    <row r="27" spans="2:7">
      <c r="B27" s="9" t="s">
        <v>17</v>
      </c>
      <c r="C27" s="10" t="s">
        <v>111</v>
      </c>
      <c r="D27" s="202">
        <v>-12245.7</v>
      </c>
      <c r="E27" s="224">
        <v>-119965.99</v>
      </c>
      <c r="F27" s="71"/>
    </row>
    <row r="28" spans="2:7">
      <c r="B28" s="9" t="s">
        <v>18</v>
      </c>
      <c r="C28" s="10" t="s">
        <v>19</v>
      </c>
      <c r="D28" s="202">
        <v>0</v>
      </c>
      <c r="E28" s="225">
        <v>0</v>
      </c>
      <c r="F28" s="71"/>
    </row>
    <row r="29" spans="2:7">
      <c r="B29" s="104" t="s">
        <v>4</v>
      </c>
      <c r="C29" s="6" t="s">
        <v>20</v>
      </c>
      <c r="D29" s="203"/>
      <c r="E29" s="226"/>
      <c r="F29" s="71"/>
    </row>
    <row r="30" spans="2:7">
      <c r="B30" s="104" t="s">
        <v>6</v>
      </c>
      <c r="C30" s="6" t="s">
        <v>21</v>
      </c>
      <c r="D30" s="203"/>
      <c r="E30" s="226"/>
      <c r="F30" s="71"/>
    </row>
    <row r="31" spans="2:7">
      <c r="B31" s="104" t="s">
        <v>8</v>
      </c>
      <c r="C31" s="6" t="s">
        <v>22</v>
      </c>
      <c r="D31" s="203"/>
      <c r="E31" s="226"/>
      <c r="F31" s="71"/>
    </row>
    <row r="32" spans="2:7">
      <c r="B32" s="92" t="s">
        <v>23</v>
      </c>
      <c r="C32" s="11" t="s">
        <v>24</v>
      </c>
      <c r="D32" s="202">
        <v>12245.7</v>
      </c>
      <c r="E32" s="225">
        <v>119965.99</v>
      </c>
      <c r="F32" s="71"/>
    </row>
    <row r="33" spans="2:6">
      <c r="B33" s="104" t="s">
        <v>4</v>
      </c>
      <c r="C33" s="6" t="s">
        <v>25</v>
      </c>
      <c r="D33" s="203"/>
      <c r="E33" s="226">
        <v>116549.22</v>
      </c>
      <c r="F33" s="71"/>
    </row>
    <row r="34" spans="2:6">
      <c r="B34" s="104" t="s">
        <v>6</v>
      </c>
      <c r="C34" s="6" t="s">
        <v>26</v>
      </c>
      <c r="D34" s="203"/>
      <c r="E34" s="226"/>
      <c r="F34" s="71"/>
    </row>
    <row r="35" spans="2:6">
      <c r="B35" s="104" t="s">
        <v>8</v>
      </c>
      <c r="C35" s="6" t="s">
        <v>27</v>
      </c>
      <c r="D35" s="203">
        <v>1431.25</v>
      </c>
      <c r="E35" s="226">
        <v>1182.79</v>
      </c>
      <c r="F35" s="71"/>
    </row>
    <row r="36" spans="2:6">
      <c r="B36" s="104" t="s">
        <v>9</v>
      </c>
      <c r="C36" s="6" t="s">
        <v>28</v>
      </c>
      <c r="D36" s="203"/>
      <c r="E36" s="226"/>
      <c r="F36" s="71"/>
    </row>
    <row r="37" spans="2:6" ht="25.5">
      <c r="B37" s="104" t="s">
        <v>29</v>
      </c>
      <c r="C37" s="6" t="s">
        <v>30</v>
      </c>
      <c r="D37" s="203">
        <v>3298.53</v>
      </c>
      <c r="E37" s="226">
        <v>2233.98</v>
      </c>
      <c r="F37" s="71"/>
    </row>
    <row r="38" spans="2:6">
      <c r="B38" s="104" t="s">
        <v>31</v>
      </c>
      <c r="C38" s="6" t="s">
        <v>32</v>
      </c>
      <c r="D38" s="203"/>
      <c r="E38" s="226"/>
      <c r="F38" s="71"/>
    </row>
    <row r="39" spans="2:6">
      <c r="B39" s="105" t="s">
        <v>33</v>
      </c>
      <c r="C39" s="12" t="s">
        <v>34</v>
      </c>
      <c r="D39" s="204">
        <v>7515.92</v>
      </c>
      <c r="E39" s="227"/>
      <c r="F39" s="71"/>
    </row>
    <row r="40" spans="2:6" ht="13.5" thickBot="1">
      <c r="B40" s="97" t="s">
        <v>35</v>
      </c>
      <c r="C40" s="98" t="s">
        <v>36</v>
      </c>
      <c r="D40" s="205">
        <v>478.28</v>
      </c>
      <c r="E40" s="232">
        <v>3017.48</v>
      </c>
    </row>
    <row r="41" spans="2:6" ht="13.5" thickBot="1">
      <c r="B41" s="99" t="s">
        <v>37</v>
      </c>
      <c r="C41" s="100" t="s">
        <v>38</v>
      </c>
      <c r="D41" s="206">
        <v>191426.72</v>
      </c>
      <c r="E41" s="148">
        <f>E26+E27+E40</f>
        <v>74478.209999999992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63"/>
      <c r="D43" s="363"/>
      <c r="E43" s="363"/>
    </row>
    <row r="44" spans="2:6" ht="18" customHeight="1" thickBot="1">
      <c r="B44" s="360" t="s">
        <v>121</v>
      </c>
      <c r="C44" s="364"/>
      <c r="D44" s="364"/>
      <c r="E44" s="364"/>
    </row>
    <row r="45" spans="2:6" ht="13.5" thickBot="1">
      <c r="B45" s="151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7">
        <v>1922.2987000000001</v>
      </c>
      <c r="E47" s="73">
        <v>1806.508</v>
      </c>
    </row>
    <row r="48" spans="2:6">
      <c r="B48" s="123" t="s">
        <v>6</v>
      </c>
      <c r="C48" s="22" t="s">
        <v>41</v>
      </c>
      <c r="D48" s="207">
        <v>1806.508</v>
      </c>
      <c r="E48" s="272">
        <v>687.54060000000004</v>
      </c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02" t="s">
        <v>4</v>
      </c>
      <c r="C50" s="15" t="s">
        <v>40</v>
      </c>
      <c r="D50" s="207">
        <v>105.703729745689</v>
      </c>
      <c r="E50" s="73">
        <v>105.965055233633</v>
      </c>
    </row>
    <row r="51" spans="2:5">
      <c r="B51" s="102" t="s">
        <v>6</v>
      </c>
      <c r="C51" s="15" t="s">
        <v>114</v>
      </c>
      <c r="D51" s="207">
        <v>105.1914</v>
      </c>
      <c r="E51" s="234">
        <v>105.96510000000001</v>
      </c>
    </row>
    <row r="52" spans="2:5">
      <c r="B52" s="102" t="s">
        <v>8</v>
      </c>
      <c r="C52" s="15" t="s">
        <v>115</v>
      </c>
      <c r="D52" s="207">
        <v>106.0478</v>
      </c>
      <c r="E52" s="234">
        <v>108.32550000000001</v>
      </c>
    </row>
    <row r="53" spans="2:5" ht="13.5" thickBot="1">
      <c r="B53" s="103" t="s">
        <v>9</v>
      </c>
      <c r="C53" s="17" t="s">
        <v>41</v>
      </c>
      <c r="D53" s="209">
        <v>105.965055233633</v>
      </c>
      <c r="E53" s="233">
        <v>108.32550000000001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4.25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SUM(D59:D70)</f>
        <v>74478.209999999992</v>
      </c>
      <c r="E58" s="31">
        <f>D58/E21</f>
        <v>0.99999999999999978</v>
      </c>
    </row>
    <row r="59" spans="2:5" ht="25.5">
      <c r="B59" s="123" t="s">
        <v>4</v>
      </c>
      <c r="C59" s="188" t="s">
        <v>44</v>
      </c>
      <c r="D59" s="80">
        <v>0</v>
      </c>
      <c r="E59" s="81">
        <v>0</v>
      </c>
    </row>
    <row r="60" spans="2:5" ht="25.5">
      <c r="B60" s="102" t="s">
        <v>6</v>
      </c>
      <c r="C60" s="186" t="s">
        <v>45</v>
      </c>
      <c r="D60" s="78">
        <v>0</v>
      </c>
      <c r="E60" s="79">
        <v>0</v>
      </c>
    </row>
    <row r="61" spans="2:5">
      <c r="B61" s="102" t="s">
        <v>8</v>
      </c>
      <c r="C61" s="186" t="s">
        <v>46</v>
      </c>
      <c r="D61" s="78">
        <v>0</v>
      </c>
      <c r="E61" s="79">
        <v>0</v>
      </c>
    </row>
    <row r="62" spans="2:5">
      <c r="B62" s="102" t="s">
        <v>9</v>
      </c>
      <c r="C62" s="186" t="s">
        <v>47</v>
      </c>
      <c r="D62" s="78">
        <v>0</v>
      </c>
      <c r="E62" s="79">
        <v>0</v>
      </c>
    </row>
    <row r="63" spans="2:5">
      <c r="B63" s="102" t="s">
        <v>29</v>
      </c>
      <c r="C63" s="186" t="s">
        <v>48</v>
      </c>
      <c r="D63" s="78">
        <v>0</v>
      </c>
      <c r="E63" s="79">
        <v>0</v>
      </c>
    </row>
    <row r="64" spans="2:5">
      <c r="B64" s="123" t="s">
        <v>31</v>
      </c>
      <c r="C64" s="188" t="s">
        <v>49</v>
      </c>
      <c r="D64" s="269">
        <v>67918.01999999999</v>
      </c>
      <c r="E64" s="81">
        <f>D64/E21</f>
        <v>0.91191799588094269</v>
      </c>
    </row>
    <row r="65" spans="2:5">
      <c r="B65" s="123" t="s">
        <v>33</v>
      </c>
      <c r="C65" s="188" t="s">
        <v>118</v>
      </c>
      <c r="D65" s="80">
        <v>0</v>
      </c>
      <c r="E65" s="81">
        <v>0</v>
      </c>
    </row>
    <row r="66" spans="2:5">
      <c r="B66" s="123" t="s">
        <v>50</v>
      </c>
      <c r="C66" s="188" t="s">
        <v>51</v>
      </c>
      <c r="D66" s="80">
        <v>0</v>
      </c>
      <c r="E66" s="81">
        <v>0</v>
      </c>
    </row>
    <row r="67" spans="2:5">
      <c r="B67" s="102" t="s">
        <v>52</v>
      </c>
      <c r="C67" s="186" t="s">
        <v>53</v>
      </c>
      <c r="D67" s="78">
        <v>0</v>
      </c>
      <c r="E67" s="79">
        <v>0</v>
      </c>
    </row>
    <row r="68" spans="2:5">
      <c r="B68" s="102" t="s">
        <v>54</v>
      </c>
      <c r="C68" s="186" t="s">
        <v>55</v>
      </c>
      <c r="D68" s="78">
        <v>0</v>
      </c>
      <c r="E68" s="79">
        <v>0</v>
      </c>
    </row>
    <row r="69" spans="2:5">
      <c r="B69" s="102" t="s">
        <v>56</v>
      </c>
      <c r="C69" s="186" t="s">
        <v>57</v>
      </c>
      <c r="D69" s="286">
        <v>6560.19</v>
      </c>
      <c r="E69" s="79">
        <f>D69/E21</f>
        <v>8.8082004119057089E-2</v>
      </c>
    </row>
    <row r="70" spans="2:5">
      <c r="B70" s="129" t="s">
        <v>58</v>
      </c>
      <c r="C70" s="237" t="s">
        <v>59</v>
      </c>
      <c r="D70" s="27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f>E13</f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0" t="s">
        <v>64</v>
      </c>
      <c r="C74" s="121" t="s">
        <v>66</v>
      </c>
      <c r="D74" s="122">
        <f>D58-D73</f>
        <v>74478.209999999992</v>
      </c>
      <c r="E74" s="66">
        <f>E58+E72-E73</f>
        <v>0.99999999999999978</v>
      </c>
    </row>
    <row r="75" spans="2:5">
      <c r="B75" s="102" t="s">
        <v>4</v>
      </c>
      <c r="C75" s="186" t="s">
        <v>67</v>
      </c>
      <c r="D75" s="78">
        <f>D74</f>
        <v>74478.209999999992</v>
      </c>
      <c r="E75" s="79">
        <f>E74</f>
        <v>0.99999999999999978</v>
      </c>
    </row>
    <row r="76" spans="2:5">
      <c r="B76" s="102" t="s">
        <v>6</v>
      </c>
      <c r="C76" s="186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90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horizontalDpi="90" verticalDpi="9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47"/>
      <c r="C4" s="147"/>
      <c r="D4" s="147"/>
      <c r="E4" s="147"/>
    </row>
    <row r="5" spans="2:7" ht="14.25">
      <c r="B5" s="358" t="s">
        <v>1</v>
      </c>
      <c r="C5" s="358"/>
      <c r="D5" s="358"/>
      <c r="E5" s="358"/>
    </row>
    <row r="6" spans="2:7" ht="14.25">
      <c r="B6" s="359" t="s">
        <v>149</v>
      </c>
      <c r="C6" s="359"/>
      <c r="D6" s="359"/>
      <c r="E6" s="359"/>
    </row>
    <row r="7" spans="2:7" ht="14.25">
      <c r="B7" s="167"/>
      <c r="C7" s="167"/>
      <c r="D7" s="167"/>
      <c r="E7" s="167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68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94" t="s">
        <v>109</v>
      </c>
      <c r="D11" s="243">
        <v>14868.63</v>
      </c>
      <c r="E11" s="244">
        <f>SUM(E12:E14)</f>
        <v>16673.87</v>
      </c>
    </row>
    <row r="12" spans="2:7">
      <c r="B12" s="106" t="s">
        <v>4</v>
      </c>
      <c r="C12" s="195" t="s">
        <v>5</v>
      </c>
      <c r="D12" s="283">
        <v>14868.63</v>
      </c>
      <c r="E12" s="304">
        <f>14048.92+2624.95</f>
        <v>16673.87</v>
      </c>
    </row>
    <row r="13" spans="2:7">
      <c r="B13" s="106" t="s">
        <v>6</v>
      </c>
      <c r="C13" s="195" t="s">
        <v>7</v>
      </c>
      <c r="D13" s="276"/>
      <c r="E13" s="305"/>
    </row>
    <row r="14" spans="2:7">
      <c r="B14" s="106" t="s">
        <v>8</v>
      </c>
      <c r="C14" s="195" t="s">
        <v>10</v>
      </c>
      <c r="D14" s="276"/>
      <c r="E14" s="305"/>
    </row>
    <row r="15" spans="2:7">
      <c r="B15" s="106" t="s">
        <v>106</v>
      </c>
      <c r="C15" s="195" t="s">
        <v>11</v>
      </c>
      <c r="D15" s="276"/>
      <c r="E15" s="305"/>
    </row>
    <row r="16" spans="2:7">
      <c r="B16" s="107" t="s">
        <v>107</v>
      </c>
      <c r="C16" s="196" t="s">
        <v>12</v>
      </c>
      <c r="D16" s="278"/>
      <c r="E16" s="306"/>
    </row>
    <row r="17" spans="2:6">
      <c r="B17" s="9" t="s">
        <v>13</v>
      </c>
      <c r="C17" s="197" t="s">
        <v>65</v>
      </c>
      <c r="D17" s="279"/>
      <c r="E17" s="307"/>
    </row>
    <row r="18" spans="2:6">
      <c r="B18" s="106" t="s">
        <v>4</v>
      </c>
      <c r="C18" s="195" t="s">
        <v>11</v>
      </c>
      <c r="D18" s="278"/>
      <c r="E18" s="306"/>
    </row>
    <row r="19" spans="2:6" ht="15" customHeight="1">
      <c r="B19" s="106" t="s">
        <v>6</v>
      </c>
      <c r="C19" s="195" t="s">
        <v>108</v>
      </c>
      <c r="D19" s="276"/>
      <c r="E19" s="305"/>
    </row>
    <row r="20" spans="2:6" ht="13.5" thickBot="1">
      <c r="B20" s="108" t="s">
        <v>8</v>
      </c>
      <c r="C20" s="69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14868.63</v>
      </c>
      <c r="E21" s="148">
        <f>E11-E17</f>
        <v>16673.87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69"/>
      <c r="D23" s="369"/>
      <c r="E23" s="369"/>
    </row>
    <row r="24" spans="2:6" ht="15.75" customHeight="1" thickBot="1">
      <c r="B24" s="360" t="s">
        <v>105</v>
      </c>
      <c r="C24" s="370"/>
      <c r="D24" s="370"/>
      <c r="E24" s="370"/>
    </row>
    <row r="25" spans="2:6" ht="13.5" thickBot="1">
      <c r="B25" s="168"/>
      <c r="C25" s="5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17525.13</v>
      </c>
      <c r="E26" s="231">
        <f>D21</f>
        <v>14868.63</v>
      </c>
    </row>
    <row r="27" spans="2:6">
      <c r="B27" s="9" t="s">
        <v>17</v>
      </c>
      <c r="C27" s="10" t="s">
        <v>111</v>
      </c>
      <c r="D27" s="202">
        <v>-1226.56</v>
      </c>
      <c r="E27" s="224">
        <v>-345.21999999999997</v>
      </c>
      <c r="F27" s="71"/>
    </row>
    <row r="28" spans="2:6">
      <c r="B28" s="9" t="s">
        <v>18</v>
      </c>
      <c r="C28" s="10" t="s">
        <v>19</v>
      </c>
      <c r="D28" s="202">
        <v>0</v>
      </c>
      <c r="E28" s="225">
        <v>0</v>
      </c>
      <c r="F28" s="71"/>
    </row>
    <row r="29" spans="2:6">
      <c r="B29" s="104" t="s">
        <v>4</v>
      </c>
      <c r="C29" s="6" t="s">
        <v>20</v>
      </c>
      <c r="D29" s="203"/>
      <c r="E29" s="226"/>
      <c r="F29" s="71"/>
    </row>
    <row r="30" spans="2:6">
      <c r="B30" s="104" t="s">
        <v>6</v>
      </c>
      <c r="C30" s="6" t="s">
        <v>21</v>
      </c>
      <c r="D30" s="203"/>
      <c r="E30" s="226"/>
      <c r="F30" s="71"/>
    </row>
    <row r="31" spans="2:6">
      <c r="B31" s="104" t="s">
        <v>8</v>
      </c>
      <c r="C31" s="6" t="s">
        <v>22</v>
      </c>
      <c r="D31" s="203"/>
      <c r="E31" s="226"/>
      <c r="F31" s="71"/>
    </row>
    <row r="32" spans="2:6">
      <c r="B32" s="92" t="s">
        <v>23</v>
      </c>
      <c r="C32" s="11" t="s">
        <v>24</v>
      </c>
      <c r="D32" s="202">
        <v>1226.56</v>
      </c>
      <c r="E32" s="225">
        <v>345.21999999999997</v>
      </c>
      <c r="F32" s="71"/>
    </row>
    <row r="33" spans="2:6">
      <c r="B33" s="104" t="s">
        <v>4</v>
      </c>
      <c r="C33" s="6" t="s">
        <v>25</v>
      </c>
      <c r="D33" s="203"/>
      <c r="E33" s="226"/>
      <c r="F33" s="71"/>
    </row>
    <row r="34" spans="2:6">
      <c r="B34" s="104" t="s">
        <v>6</v>
      </c>
      <c r="C34" s="6" t="s">
        <v>26</v>
      </c>
      <c r="D34" s="203"/>
      <c r="E34" s="226"/>
      <c r="F34" s="71"/>
    </row>
    <row r="35" spans="2:6">
      <c r="B35" s="104" t="s">
        <v>8</v>
      </c>
      <c r="C35" s="6" t="s">
        <v>27</v>
      </c>
      <c r="D35" s="203">
        <v>65.099999999999994</v>
      </c>
      <c r="E35" s="226">
        <v>71.13</v>
      </c>
      <c r="F35" s="71"/>
    </row>
    <row r="36" spans="2:6">
      <c r="B36" s="104" t="s">
        <v>9</v>
      </c>
      <c r="C36" s="6" t="s">
        <v>28</v>
      </c>
      <c r="D36" s="203"/>
      <c r="E36" s="226"/>
      <c r="F36" s="71"/>
    </row>
    <row r="37" spans="2:6" ht="25.5">
      <c r="B37" s="104" t="s">
        <v>29</v>
      </c>
      <c r="C37" s="6" t="s">
        <v>30</v>
      </c>
      <c r="D37" s="203">
        <v>274.60000000000002</v>
      </c>
      <c r="E37" s="226">
        <v>274.08999999999997</v>
      </c>
      <c r="F37" s="71"/>
    </row>
    <row r="38" spans="2:6">
      <c r="B38" s="104" t="s">
        <v>31</v>
      </c>
      <c r="C38" s="6" t="s">
        <v>32</v>
      </c>
      <c r="D38" s="203"/>
      <c r="E38" s="226"/>
      <c r="F38" s="71"/>
    </row>
    <row r="39" spans="2:6">
      <c r="B39" s="105" t="s">
        <v>33</v>
      </c>
      <c r="C39" s="12" t="s">
        <v>34</v>
      </c>
      <c r="D39" s="204">
        <v>886.86</v>
      </c>
      <c r="E39" s="227"/>
      <c r="F39" s="71"/>
    </row>
    <row r="40" spans="2:6" ht="13.5" thickBot="1">
      <c r="B40" s="97" t="s">
        <v>35</v>
      </c>
      <c r="C40" s="98" t="s">
        <v>36</v>
      </c>
      <c r="D40" s="205">
        <v>-1429.94</v>
      </c>
      <c r="E40" s="232">
        <v>2150.46</v>
      </c>
    </row>
    <row r="41" spans="2:6" ht="13.5" thickBot="1">
      <c r="B41" s="99" t="s">
        <v>37</v>
      </c>
      <c r="C41" s="100" t="s">
        <v>38</v>
      </c>
      <c r="D41" s="206">
        <v>14868.630000000001</v>
      </c>
      <c r="E41" s="148">
        <f>E26+E27+E40</f>
        <v>16673.87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63"/>
      <c r="D43" s="363"/>
      <c r="E43" s="363"/>
    </row>
    <row r="44" spans="2:6" ht="18" customHeight="1" thickBot="1">
      <c r="B44" s="360" t="s">
        <v>121</v>
      </c>
      <c r="C44" s="364"/>
      <c r="D44" s="364"/>
      <c r="E44" s="364"/>
    </row>
    <row r="45" spans="2:6" ht="13.5" thickBot="1">
      <c r="B45" s="168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7">
        <v>156.91540000000001</v>
      </c>
      <c r="E47" s="73">
        <v>144.68700000000001</v>
      </c>
    </row>
    <row r="48" spans="2:6">
      <c r="B48" s="187" t="s">
        <v>6</v>
      </c>
      <c r="C48" s="188" t="s">
        <v>41</v>
      </c>
      <c r="D48" s="207">
        <v>144.68700000000001</v>
      </c>
      <c r="E48" s="272">
        <v>141.619</v>
      </c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85" t="s">
        <v>4</v>
      </c>
      <c r="C50" s="186" t="s">
        <v>40</v>
      </c>
      <c r="D50" s="207">
        <v>111.68519999999999</v>
      </c>
      <c r="E50" s="73">
        <v>102.764104584378</v>
      </c>
    </row>
    <row r="51" spans="2:5">
      <c r="B51" s="185" t="s">
        <v>6</v>
      </c>
      <c r="C51" s="186" t="s">
        <v>114</v>
      </c>
      <c r="D51" s="207">
        <v>102.1795</v>
      </c>
      <c r="E51" s="327">
        <v>102.7641</v>
      </c>
    </row>
    <row r="52" spans="2:5">
      <c r="B52" s="185" t="s">
        <v>8</v>
      </c>
      <c r="C52" s="186" t="s">
        <v>115</v>
      </c>
      <c r="D52" s="207">
        <v>114.0591</v>
      </c>
      <c r="E52" s="327">
        <v>117.79989999999999</v>
      </c>
    </row>
    <row r="53" spans="2:5" ht="13.5" thickBot="1">
      <c r="B53" s="189" t="s">
        <v>9</v>
      </c>
      <c r="C53" s="190" t="s">
        <v>41</v>
      </c>
      <c r="D53" s="209">
        <v>102.764104584378</v>
      </c>
      <c r="E53" s="288">
        <v>117.7375</v>
      </c>
    </row>
    <row r="54" spans="2:5">
      <c r="B54" s="191"/>
      <c r="C54" s="192"/>
      <c r="D54" s="111"/>
      <c r="E54" s="111"/>
    </row>
    <row r="55" spans="2:5" ht="13.5">
      <c r="B55" s="362" t="s">
        <v>62</v>
      </c>
      <c r="C55" s="374"/>
      <c r="D55" s="374"/>
      <c r="E55" s="374"/>
    </row>
    <row r="56" spans="2:5" ht="14.25" thickBot="1">
      <c r="B56" s="360" t="s">
        <v>116</v>
      </c>
      <c r="C56" s="373"/>
      <c r="D56" s="373"/>
      <c r="E56" s="373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SUM(D59:D70)</f>
        <v>16673.87</v>
      </c>
      <c r="E58" s="31">
        <f>D58/E21</f>
        <v>1</v>
      </c>
    </row>
    <row r="59" spans="2:5" ht="25.5">
      <c r="B59" s="123" t="s">
        <v>4</v>
      </c>
      <c r="C59" s="188" t="s">
        <v>44</v>
      </c>
      <c r="D59" s="80">
        <v>0</v>
      </c>
      <c r="E59" s="81">
        <v>0</v>
      </c>
    </row>
    <row r="60" spans="2:5" ht="25.5">
      <c r="B60" s="102" t="s">
        <v>6</v>
      </c>
      <c r="C60" s="186" t="s">
        <v>45</v>
      </c>
      <c r="D60" s="78">
        <v>0</v>
      </c>
      <c r="E60" s="79">
        <v>0</v>
      </c>
    </row>
    <row r="61" spans="2:5">
      <c r="B61" s="102" t="s">
        <v>8</v>
      </c>
      <c r="C61" s="186" t="s">
        <v>46</v>
      </c>
      <c r="D61" s="78">
        <v>0</v>
      </c>
      <c r="E61" s="79">
        <v>0</v>
      </c>
    </row>
    <row r="62" spans="2:5">
      <c r="B62" s="102" t="s">
        <v>9</v>
      </c>
      <c r="C62" s="186" t="s">
        <v>47</v>
      </c>
      <c r="D62" s="78">
        <v>0</v>
      </c>
      <c r="E62" s="79">
        <v>0</v>
      </c>
    </row>
    <row r="63" spans="2:5">
      <c r="B63" s="102" t="s">
        <v>29</v>
      </c>
      <c r="C63" s="186" t="s">
        <v>48</v>
      </c>
      <c r="D63" s="78">
        <v>0</v>
      </c>
      <c r="E63" s="79">
        <v>0</v>
      </c>
    </row>
    <row r="64" spans="2:5">
      <c r="B64" s="123" t="s">
        <v>31</v>
      </c>
      <c r="C64" s="188" t="s">
        <v>49</v>
      </c>
      <c r="D64" s="269">
        <v>14048.92</v>
      </c>
      <c r="E64" s="81">
        <f>D64/E21</f>
        <v>0.84257104079616796</v>
      </c>
    </row>
    <row r="65" spans="2:5">
      <c r="B65" s="123" t="s">
        <v>33</v>
      </c>
      <c r="C65" s="188" t="s">
        <v>118</v>
      </c>
      <c r="D65" s="80">
        <v>0</v>
      </c>
      <c r="E65" s="81">
        <v>0</v>
      </c>
    </row>
    <row r="66" spans="2:5">
      <c r="B66" s="123" t="s">
        <v>50</v>
      </c>
      <c r="C66" s="188" t="s">
        <v>51</v>
      </c>
      <c r="D66" s="80">
        <v>0</v>
      </c>
      <c r="E66" s="81">
        <v>0</v>
      </c>
    </row>
    <row r="67" spans="2:5">
      <c r="B67" s="102" t="s">
        <v>52</v>
      </c>
      <c r="C67" s="186" t="s">
        <v>53</v>
      </c>
      <c r="D67" s="78">
        <v>0</v>
      </c>
      <c r="E67" s="79">
        <v>0</v>
      </c>
    </row>
    <row r="68" spans="2:5">
      <c r="B68" s="102" t="s">
        <v>54</v>
      </c>
      <c r="C68" s="186" t="s">
        <v>55</v>
      </c>
      <c r="D68" s="78">
        <v>0</v>
      </c>
      <c r="E68" s="79">
        <v>0</v>
      </c>
    </row>
    <row r="69" spans="2:5">
      <c r="B69" s="102" t="s">
        <v>56</v>
      </c>
      <c r="C69" s="186" t="s">
        <v>57</v>
      </c>
      <c r="D69" s="286">
        <v>2624.95</v>
      </c>
      <c r="E69" s="79">
        <f>D69/E21</f>
        <v>0.1574289592038321</v>
      </c>
    </row>
    <row r="70" spans="2:5">
      <c r="B70" s="129" t="s">
        <v>58</v>
      </c>
      <c r="C70" s="237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f>E13</f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0" t="s">
        <v>64</v>
      </c>
      <c r="C74" s="121" t="s">
        <v>66</v>
      </c>
      <c r="D74" s="122">
        <f>D58-D73</f>
        <v>16673.87</v>
      </c>
      <c r="E74" s="66">
        <f>E58+E72-E73</f>
        <v>1</v>
      </c>
    </row>
    <row r="75" spans="2:5">
      <c r="B75" s="102" t="s">
        <v>4</v>
      </c>
      <c r="C75" s="186" t="s">
        <v>67</v>
      </c>
      <c r="D75" s="78">
        <f>D74</f>
        <v>16673.87</v>
      </c>
      <c r="E75" s="79">
        <f>E74</f>
        <v>1</v>
      </c>
    </row>
    <row r="76" spans="2:5">
      <c r="B76" s="102" t="s">
        <v>6</v>
      </c>
      <c r="C76" s="186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90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/>
  <dimension ref="A1:H81"/>
  <sheetViews>
    <sheetView zoomScale="80" zoomScaleNormal="80" workbookViewId="0">
      <selection activeCell="I37" sqref="I37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7.85546875" customWidth="1"/>
    <col min="8" max="8" width="12.42578125" bestFit="1" customWidth="1"/>
  </cols>
  <sheetData>
    <row r="1" spans="2:8">
      <c r="B1" s="1"/>
      <c r="C1" s="1"/>
      <c r="D1" s="2"/>
      <c r="E1" s="2"/>
    </row>
    <row r="2" spans="2:8" ht="15.75">
      <c r="B2" s="357" t="s">
        <v>0</v>
      </c>
      <c r="C2" s="357"/>
      <c r="D2" s="357"/>
      <c r="E2" s="357"/>
      <c r="H2" s="71"/>
    </row>
    <row r="3" spans="2:8" ht="15.75">
      <c r="B3" s="357" t="s">
        <v>267</v>
      </c>
      <c r="C3" s="357"/>
      <c r="D3" s="357"/>
      <c r="E3" s="357"/>
    </row>
    <row r="4" spans="2:8" ht="15">
      <c r="B4" s="87"/>
      <c r="C4" s="87"/>
      <c r="D4" s="87"/>
      <c r="E4" s="87"/>
    </row>
    <row r="5" spans="2:8" ht="21" customHeight="1">
      <c r="B5" s="358" t="s">
        <v>1</v>
      </c>
      <c r="C5" s="358"/>
      <c r="D5" s="358"/>
      <c r="E5" s="358"/>
    </row>
    <row r="6" spans="2:8" ht="14.25">
      <c r="B6" s="359" t="s">
        <v>68</v>
      </c>
      <c r="C6" s="359"/>
      <c r="D6" s="359"/>
      <c r="E6" s="359"/>
    </row>
    <row r="7" spans="2:8" ht="14.25">
      <c r="B7" s="89"/>
      <c r="C7" s="89"/>
      <c r="D7" s="89"/>
      <c r="E7" s="89"/>
    </row>
    <row r="8" spans="2:8" ht="13.5">
      <c r="B8" s="361" t="s">
        <v>18</v>
      </c>
      <c r="C8" s="363"/>
      <c r="D8" s="363"/>
      <c r="E8" s="363"/>
    </row>
    <row r="9" spans="2:8" ht="16.5" thickBot="1">
      <c r="B9" s="360" t="s">
        <v>103</v>
      </c>
      <c r="C9" s="360"/>
      <c r="D9" s="360"/>
      <c r="E9" s="360"/>
    </row>
    <row r="10" spans="2:8" ht="13.5" thickBot="1">
      <c r="B10" s="88"/>
      <c r="C10" s="76" t="s">
        <v>2</v>
      </c>
      <c r="D10" s="70" t="s">
        <v>125</v>
      </c>
      <c r="E10" s="319" t="s">
        <v>268</v>
      </c>
    </row>
    <row r="11" spans="2:8">
      <c r="B11" s="90" t="s">
        <v>3</v>
      </c>
      <c r="C11" s="128" t="s">
        <v>109</v>
      </c>
      <c r="D11" s="243">
        <v>18590730.200000003</v>
      </c>
      <c r="E11" s="244">
        <f>SUM(E12:E14)</f>
        <v>16985387.210000001</v>
      </c>
    </row>
    <row r="12" spans="2:8">
      <c r="B12" s="106" t="s">
        <v>4</v>
      </c>
      <c r="C12" s="6" t="s">
        <v>5</v>
      </c>
      <c r="D12" s="283">
        <v>18520300.990000002</v>
      </c>
      <c r="E12" s="304">
        <f>16990541.25-11641</f>
        <v>16978900.25</v>
      </c>
    </row>
    <row r="13" spans="2:8">
      <c r="B13" s="106" t="s">
        <v>6</v>
      </c>
      <c r="C13" s="68" t="s">
        <v>7</v>
      </c>
      <c r="D13" s="276"/>
      <c r="E13" s="305">
        <v>6486.96</v>
      </c>
    </row>
    <row r="14" spans="2:8">
      <c r="B14" s="106" t="s">
        <v>8</v>
      </c>
      <c r="C14" s="68" t="s">
        <v>10</v>
      </c>
      <c r="D14" s="276">
        <v>70429.210000000006</v>
      </c>
      <c r="E14" s="305"/>
    </row>
    <row r="15" spans="2:8">
      <c r="B15" s="106" t="s">
        <v>106</v>
      </c>
      <c r="C15" s="68" t="s">
        <v>11</v>
      </c>
      <c r="D15" s="276">
        <v>70429.210000000006</v>
      </c>
      <c r="E15" s="305"/>
    </row>
    <row r="16" spans="2:8">
      <c r="B16" s="107" t="s">
        <v>107</v>
      </c>
      <c r="C16" s="91" t="s">
        <v>12</v>
      </c>
      <c r="D16" s="278"/>
      <c r="E16" s="306"/>
    </row>
    <row r="17" spans="2:7">
      <c r="B17" s="9" t="s">
        <v>13</v>
      </c>
      <c r="C17" s="11" t="s">
        <v>65</v>
      </c>
      <c r="D17" s="279">
        <v>64954.33</v>
      </c>
      <c r="E17" s="307">
        <f>E18</f>
        <v>31223.11</v>
      </c>
    </row>
    <row r="18" spans="2:7">
      <c r="B18" s="106" t="s">
        <v>4</v>
      </c>
      <c r="C18" s="6" t="s">
        <v>11</v>
      </c>
      <c r="D18" s="278">
        <v>64954.33</v>
      </c>
      <c r="E18" s="306">
        <v>31223.11</v>
      </c>
    </row>
    <row r="19" spans="2:7" ht="15" customHeight="1">
      <c r="B19" s="106" t="s">
        <v>6</v>
      </c>
      <c r="C19" s="68" t="s">
        <v>108</v>
      </c>
      <c r="D19" s="276"/>
      <c r="E19" s="305"/>
    </row>
    <row r="20" spans="2:7" ht="13.5" thickBot="1">
      <c r="B20" s="108" t="s">
        <v>8</v>
      </c>
      <c r="C20" s="69" t="s">
        <v>14</v>
      </c>
      <c r="D20" s="245"/>
      <c r="E20" s="246"/>
    </row>
    <row r="21" spans="2:7" ht="13.5" thickBot="1">
      <c r="B21" s="367" t="s">
        <v>110</v>
      </c>
      <c r="C21" s="368"/>
      <c r="D21" s="247">
        <v>18525775.870000005</v>
      </c>
      <c r="E21" s="148">
        <f>E11-E17</f>
        <v>16954164.100000001</v>
      </c>
      <c r="F21" s="77"/>
      <c r="G21" s="164"/>
    </row>
    <row r="22" spans="2:7">
      <c r="B22" s="3"/>
      <c r="C22" s="7"/>
      <c r="D22" s="8"/>
      <c r="E22" s="8"/>
    </row>
    <row r="23" spans="2:7" ht="13.5">
      <c r="B23" s="361" t="s">
        <v>104</v>
      </c>
      <c r="C23" s="369"/>
      <c r="D23" s="369"/>
      <c r="E23" s="369"/>
    </row>
    <row r="24" spans="2:7" ht="15.75" customHeight="1" thickBot="1">
      <c r="B24" s="360" t="s">
        <v>105</v>
      </c>
      <c r="C24" s="370"/>
      <c r="D24" s="370"/>
      <c r="E24" s="370"/>
    </row>
    <row r="25" spans="2:7" ht="13.5" thickBot="1">
      <c r="B25" s="88"/>
      <c r="C25" s="5" t="s">
        <v>2</v>
      </c>
      <c r="D25" s="70" t="s">
        <v>125</v>
      </c>
      <c r="E25" s="319" t="s">
        <v>268</v>
      </c>
    </row>
    <row r="26" spans="2:7">
      <c r="B26" s="95" t="s">
        <v>15</v>
      </c>
      <c r="C26" s="96" t="s">
        <v>16</v>
      </c>
      <c r="D26" s="201">
        <v>19547516.259999998</v>
      </c>
      <c r="E26" s="231">
        <f>D21</f>
        <v>18525775.870000005</v>
      </c>
    </row>
    <row r="27" spans="2:7">
      <c r="B27" s="9" t="s">
        <v>17</v>
      </c>
      <c r="C27" s="10" t="s">
        <v>111</v>
      </c>
      <c r="D27" s="202">
        <v>-1108437.6399999997</v>
      </c>
      <c r="E27" s="224">
        <f>E28-E32</f>
        <v>-1679872.3900000001</v>
      </c>
      <c r="F27" s="71"/>
    </row>
    <row r="28" spans="2:7">
      <c r="B28" s="9" t="s">
        <v>18</v>
      </c>
      <c r="C28" s="10" t="s">
        <v>19</v>
      </c>
      <c r="D28" s="202">
        <v>745832.65</v>
      </c>
      <c r="E28" s="225">
        <v>653497.1</v>
      </c>
      <c r="F28" s="71"/>
    </row>
    <row r="29" spans="2:7">
      <c r="B29" s="104" t="s">
        <v>4</v>
      </c>
      <c r="C29" s="6" t="s">
        <v>20</v>
      </c>
      <c r="D29" s="203">
        <v>12575.74</v>
      </c>
      <c r="E29" s="226">
        <v>11448.22</v>
      </c>
      <c r="F29" s="71"/>
    </row>
    <row r="30" spans="2:7">
      <c r="B30" s="104" t="s">
        <v>6</v>
      </c>
      <c r="C30" s="6" t="s">
        <v>21</v>
      </c>
      <c r="D30" s="203"/>
      <c r="E30" s="226"/>
      <c r="F30" s="71"/>
    </row>
    <row r="31" spans="2:7">
      <c r="B31" s="104" t="s">
        <v>8</v>
      </c>
      <c r="C31" s="6" t="s">
        <v>22</v>
      </c>
      <c r="D31" s="203">
        <v>733256.91</v>
      </c>
      <c r="E31" s="226">
        <v>642048.88</v>
      </c>
      <c r="F31" s="71"/>
    </row>
    <row r="32" spans="2:7">
      <c r="B32" s="92" t="s">
        <v>23</v>
      </c>
      <c r="C32" s="11" t="s">
        <v>24</v>
      </c>
      <c r="D32" s="202">
        <v>1854270.2899999998</v>
      </c>
      <c r="E32" s="225">
        <f>SUM(E33:E39)</f>
        <v>2333369.4900000002</v>
      </c>
      <c r="F32" s="71"/>
    </row>
    <row r="33" spans="2:6">
      <c r="B33" s="104" t="s">
        <v>4</v>
      </c>
      <c r="C33" s="6" t="s">
        <v>25</v>
      </c>
      <c r="D33" s="203">
        <v>1804996.7999999998</v>
      </c>
      <c r="E33" s="226">
        <f>2196380.96+3624.35</f>
        <v>2200005.31</v>
      </c>
      <c r="F33" s="71"/>
    </row>
    <row r="34" spans="2:6">
      <c r="B34" s="104" t="s">
        <v>6</v>
      </c>
      <c r="C34" s="6" t="s">
        <v>26</v>
      </c>
      <c r="D34" s="203"/>
      <c r="E34" s="226"/>
      <c r="F34" s="71"/>
    </row>
    <row r="35" spans="2:6">
      <c r="B35" s="104" t="s">
        <v>8</v>
      </c>
      <c r="C35" s="6" t="s">
        <v>27</v>
      </c>
      <c r="D35" s="203">
        <v>36363.65</v>
      </c>
      <c r="E35" s="226">
        <v>36527.230000000003</v>
      </c>
      <c r="F35" s="71"/>
    </row>
    <row r="36" spans="2:6">
      <c r="B36" s="104" t="s">
        <v>9</v>
      </c>
      <c r="C36" s="6" t="s">
        <v>28</v>
      </c>
      <c r="D36" s="203"/>
      <c r="E36" s="226"/>
      <c r="F36" s="71"/>
    </row>
    <row r="37" spans="2:6" ht="25.5">
      <c r="B37" s="104" t="s">
        <v>29</v>
      </c>
      <c r="C37" s="6" t="s">
        <v>30</v>
      </c>
      <c r="D37" s="203"/>
      <c r="E37" s="226"/>
      <c r="F37" s="71"/>
    </row>
    <row r="38" spans="2:6">
      <c r="B38" s="104" t="s">
        <v>31</v>
      </c>
      <c r="C38" s="6" t="s">
        <v>32</v>
      </c>
      <c r="D38" s="203"/>
      <c r="E38" s="226"/>
      <c r="F38" s="71"/>
    </row>
    <row r="39" spans="2:6">
      <c r="B39" s="105" t="s">
        <v>33</v>
      </c>
      <c r="C39" s="12" t="s">
        <v>34</v>
      </c>
      <c r="D39" s="204">
        <v>12909.84</v>
      </c>
      <c r="E39" s="227">
        <v>96836.95</v>
      </c>
      <c r="F39" s="71"/>
    </row>
    <row r="40" spans="2:6" ht="13.5" thickBot="1">
      <c r="B40" s="97" t="s">
        <v>35</v>
      </c>
      <c r="C40" s="98" t="s">
        <v>36</v>
      </c>
      <c r="D40" s="205">
        <v>86697.25</v>
      </c>
      <c r="E40" s="232">
        <v>108260.62</v>
      </c>
    </row>
    <row r="41" spans="2:6" ht="13.5" thickBot="1">
      <c r="B41" s="99" t="s">
        <v>37</v>
      </c>
      <c r="C41" s="100" t="s">
        <v>38</v>
      </c>
      <c r="D41" s="206">
        <v>18525775.869999997</v>
      </c>
      <c r="E41" s="148">
        <f>E26+E27+E40</f>
        <v>16954164.100000005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63"/>
      <c r="D43" s="363"/>
      <c r="E43" s="363"/>
    </row>
    <row r="44" spans="2:6" ht="18" customHeight="1" thickBot="1">
      <c r="B44" s="360" t="s">
        <v>121</v>
      </c>
      <c r="C44" s="364"/>
      <c r="D44" s="364"/>
      <c r="E44" s="364"/>
    </row>
    <row r="45" spans="2:6" ht="13.5" thickBot="1">
      <c r="B45" s="88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7">
        <v>1508214.4464</v>
      </c>
      <c r="E47" s="73">
        <v>1422805.0834999999</v>
      </c>
    </row>
    <row r="48" spans="2:6">
      <c r="B48" s="123" t="s">
        <v>6</v>
      </c>
      <c r="C48" s="22" t="s">
        <v>41</v>
      </c>
      <c r="D48" s="207">
        <v>1422805.0834999999</v>
      </c>
      <c r="E48" s="73">
        <v>1294336.0936999999</v>
      </c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02" t="s">
        <v>4</v>
      </c>
      <c r="C50" s="15" t="s">
        <v>40</v>
      </c>
      <c r="D50" s="207">
        <v>12.960699999999999</v>
      </c>
      <c r="E50" s="73">
        <v>13.0206</v>
      </c>
    </row>
    <row r="51" spans="2:5">
      <c r="B51" s="102" t="s">
        <v>6</v>
      </c>
      <c r="C51" s="15" t="s">
        <v>114</v>
      </c>
      <c r="D51" s="207">
        <v>12.8752</v>
      </c>
      <c r="E51" s="75">
        <v>12.990399999999999</v>
      </c>
    </row>
    <row r="52" spans="2:5">
      <c r="B52" s="102" t="s">
        <v>8</v>
      </c>
      <c r="C52" s="15" t="s">
        <v>115</v>
      </c>
      <c r="D52" s="207">
        <v>13.074400000000001</v>
      </c>
      <c r="E52" s="75">
        <v>13.2189</v>
      </c>
    </row>
    <row r="53" spans="2:5" ht="13.5" customHeight="1" thickBot="1">
      <c r="B53" s="103" t="s">
        <v>9</v>
      </c>
      <c r="C53" s="17" t="s">
        <v>41</v>
      </c>
      <c r="D53" s="209">
        <v>13.0206</v>
      </c>
      <c r="E53" s="233">
        <v>13.098699999999999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5.7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16978900.25</v>
      </c>
      <c r="E58" s="31">
        <f>D58/E21</f>
        <v>1.0014590014496791</v>
      </c>
    </row>
    <row r="59" spans="2:5" ht="25.5">
      <c r="B59" s="187" t="s">
        <v>4</v>
      </c>
      <c r="C59" s="188" t="s">
        <v>44</v>
      </c>
      <c r="D59" s="80">
        <v>0</v>
      </c>
      <c r="E59" s="81">
        <v>0</v>
      </c>
    </row>
    <row r="60" spans="2:5" ht="25.5">
      <c r="B60" s="185" t="s">
        <v>6</v>
      </c>
      <c r="C60" s="186" t="s">
        <v>45</v>
      </c>
      <c r="D60" s="78">
        <v>0</v>
      </c>
      <c r="E60" s="79">
        <v>0</v>
      </c>
    </row>
    <row r="61" spans="2:5" ht="12.75" customHeight="1">
      <c r="B61" s="185" t="s">
        <v>8</v>
      </c>
      <c r="C61" s="186" t="s">
        <v>46</v>
      </c>
      <c r="D61" s="78">
        <v>0</v>
      </c>
      <c r="E61" s="79">
        <v>0</v>
      </c>
    </row>
    <row r="62" spans="2:5">
      <c r="B62" s="185" t="s">
        <v>9</v>
      </c>
      <c r="C62" s="186" t="s">
        <v>47</v>
      </c>
      <c r="D62" s="78">
        <v>0</v>
      </c>
      <c r="E62" s="79">
        <v>0</v>
      </c>
    </row>
    <row r="63" spans="2:5">
      <c r="B63" s="185" t="s">
        <v>29</v>
      </c>
      <c r="C63" s="186" t="s">
        <v>48</v>
      </c>
      <c r="D63" s="78">
        <v>0</v>
      </c>
      <c r="E63" s="79">
        <v>0</v>
      </c>
    </row>
    <row r="64" spans="2:5">
      <c r="B64" s="187" t="s">
        <v>31</v>
      </c>
      <c r="C64" s="188" t="s">
        <v>49</v>
      </c>
      <c r="D64" s="80">
        <f>E12</f>
        <v>16978900.25</v>
      </c>
      <c r="E64" s="81">
        <f>D64/E21</f>
        <v>1.0014590014496791</v>
      </c>
    </row>
    <row r="65" spans="2:5">
      <c r="B65" s="187" t="s">
        <v>33</v>
      </c>
      <c r="C65" s="188" t="s">
        <v>118</v>
      </c>
      <c r="D65" s="80">
        <v>0</v>
      </c>
      <c r="E65" s="81">
        <v>0</v>
      </c>
    </row>
    <row r="66" spans="2:5">
      <c r="B66" s="187" t="s">
        <v>50</v>
      </c>
      <c r="C66" s="188" t="s">
        <v>51</v>
      </c>
      <c r="D66" s="80">
        <v>0</v>
      </c>
      <c r="E66" s="81">
        <v>0</v>
      </c>
    </row>
    <row r="67" spans="2:5">
      <c r="B67" s="185" t="s">
        <v>52</v>
      </c>
      <c r="C67" s="186" t="s">
        <v>53</v>
      </c>
      <c r="D67" s="78">
        <v>0</v>
      </c>
      <c r="E67" s="79">
        <v>0</v>
      </c>
    </row>
    <row r="68" spans="2:5">
      <c r="B68" s="185" t="s">
        <v>54</v>
      </c>
      <c r="C68" s="186" t="s">
        <v>55</v>
      </c>
      <c r="D68" s="78">
        <v>0</v>
      </c>
      <c r="E68" s="79">
        <v>0</v>
      </c>
    </row>
    <row r="69" spans="2:5">
      <c r="B69" s="185" t="s">
        <v>56</v>
      </c>
      <c r="C69" s="186" t="s">
        <v>57</v>
      </c>
      <c r="D69" s="274">
        <v>0</v>
      </c>
      <c r="E69" s="79">
        <v>0</v>
      </c>
    </row>
    <row r="70" spans="2:5">
      <c r="B70" s="238" t="s">
        <v>58</v>
      </c>
      <c r="C70" s="237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f>E13</f>
        <v>6486.96</v>
      </c>
      <c r="E71" s="66">
        <f>D71/E21</f>
        <v>3.8261750692857808E-4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f>E17</f>
        <v>31223.11</v>
      </c>
      <c r="E73" s="26">
        <f>D73/E21</f>
        <v>1.8416189566078341E-3</v>
      </c>
    </row>
    <row r="74" spans="2:5">
      <c r="B74" s="130" t="s">
        <v>64</v>
      </c>
      <c r="C74" s="121" t="s">
        <v>66</v>
      </c>
      <c r="D74" s="122">
        <f>D58+D71+D72-D73</f>
        <v>16954164.100000001</v>
      </c>
      <c r="E74" s="66">
        <f>E58+E71+E72-E73</f>
        <v>0.99999999999999989</v>
      </c>
    </row>
    <row r="75" spans="2:5">
      <c r="B75" s="185" t="s">
        <v>4</v>
      </c>
      <c r="C75" s="186" t="s">
        <v>67</v>
      </c>
      <c r="D75" s="78">
        <f>D74</f>
        <v>16954164.100000001</v>
      </c>
      <c r="E75" s="79">
        <f>E74</f>
        <v>0.99999999999999989</v>
      </c>
    </row>
    <row r="76" spans="2:5">
      <c r="B76" s="185" t="s">
        <v>6</v>
      </c>
      <c r="C76" s="186" t="s">
        <v>119</v>
      </c>
      <c r="D76" s="78">
        <v>0</v>
      </c>
      <c r="E76" s="79">
        <v>0</v>
      </c>
    </row>
    <row r="77" spans="2:5" ht="13.5" thickBot="1">
      <c r="B77" s="189" t="s">
        <v>8</v>
      </c>
      <c r="C77" s="190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87"/>
      <c r="C4" s="87"/>
      <c r="D4" s="87"/>
      <c r="E4" s="87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69</v>
      </c>
      <c r="C6" s="359"/>
      <c r="D6" s="359"/>
      <c r="E6" s="359"/>
    </row>
    <row r="7" spans="2:7" ht="14.25">
      <c r="B7" s="89"/>
      <c r="C7" s="89"/>
      <c r="D7" s="89"/>
      <c r="E7" s="89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88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117349286.21000001</v>
      </c>
      <c r="E11" s="244">
        <f>SUM(E12:E14)</f>
        <v>105434245.45</v>
      </c>
    </row>
    <row r="12" spans="2:7">
      <c r="B12" s="106" t="s">
        <v>4</v>
      </c>
      <c r="C12" s="6" t="s">
        <v>5</v>
      </c>
      <c r="D12" s="283">
        <v>117349286.21000001</v>
      </c>
      <c r="E12" s="304">
        <f>105547280.87-114982.78</f>
        <v>105432298.09</v>
      </c>
    </row>
    <row r="13" spans="2:7">
      <c r="B13" s="106" t="s">
        <v>6</v>
      </c>
      <c r="C13" s="68" t="s">
        <v>7</v>
      </c>
      <c r="D13" s="276"/>
      <c r="E13" s="305">
        <v>1947.36</v>
      </c>
    </row>
    <row r="14" spans="2:7">
      <c r="B14" s="106" t="s">
        <v>8</v>
      </c>
      <c r="C14" s="68" t="s">
        <v>10</v>
      </c>
      <c r="D14" s="276"/>
      <c r="E14" s="305"/>
    </row>
    <row r="15" spans="2:7">
      <c r="B15" s="106" t="s">
        <v>106</v>
      </c>
      <c r="C15" s="68" t="s">
        <v>11</v>
      </c>
      <c r="D15" s="276"/>
      <c r="E15" s="305"/>
    </row>
    <row r="16" spans="2:7">
      <c r="B16" s="107" t="s">
        <v>107</v>
      </c>
      <c r="C16" s="91" t="s">
        <v>12</v>
      </c>
      <c r="D16" s="278"/>
      <c r="E16" s="306"/>
    </row>
    <row r="17" spans="2:6">
      <c r="B17" s="9" t="s">
        <v>13</v>
      </c>
      <c r="C17" s="11" t="s">
        <v>65</v>
      </c>
      <c r="D17" s="279">
        <v>451855.12</v>
      </c>
      <c r="E17" s="307">
        <f>E18</f>
        <v>307235.42</v>
      </c>
    </row>
    <row r="18" spans="2:6">
      <c r="B18" s="106" t="s">
        <v>4</v>
      </c>
      <c r="C18" s="6" t="s">
        <v>11</v>
      </c>
      <c r="D18" s="278">
        <v>451855.12</v>
      </c>
      <c r="E18" s="306">
        <v>307235.42</v>
      </c>
    </row>
    <row r="19" spans="2:6" ht="15" customHeight="1">
      <c r="B19" s="106" t="s">
        <v>6</v>
      </c>
      <c r="C19" s="68" t="s">
        <v>108</v>
      </c>
      <c r="D19" s="276"/>
      <c r="E19" s="305"/>
    </row>
    <row r="20" spans="2:6" ht="13.5" thickBot="1">
      <c r="B20" s="108" t="s">
        <v>8</v>
      </c>
      <c r="C20" s="69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116897431.09</v>
      </c>
      <c r="E21" s="148">
        <f>E11-E17</f>
        <v>105127010.03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69"/>
      <c r="D23" s="369"/>
      <c r="E23" s="369"/>
    </row>
    <row r="24" spans="2:6" ht="15.75" customHeight="1" thickBot="1">
      <c r="B24" s="360" t="s">
        <v>105</v>
      </c>
      <c r="C24" s="370"/>
      <c r="D24" s="370"/>
      <c r="E24" s="370"/>
    </row>
    <row r="25" spans="2:6" ht="13.5" thickBot="1">
      <c r="B25" s="88"/>
      <c r="C25" s="5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141688036.50999999</v>
      </c>
      <c r="E26" s="231">
        <f>D21</f>
        <v>116897431.09</v>
      </c>
    </row>
    <row r="27" spans="2:6">
      <c r="B27" s="9" t="s">
        <v>17</v>
      </c>
      <c r="C27" s="10" t="s">
        <v>111</v>
      </c>
      <c r="D27" s="202">
        <v>-13005083.450000001</v>
      </c>
      <c r="E27" s="224">
        <f>E28-E32</f>
        <v>-14348448.089999998</v>
      </c>
      <c r="F27" s="71"/>
    </row>
    <row r="28" spans="2:6">
      <c r="B28" s="9" t="s">
        <v>18</v>
      </c>
      <c r="C28" s="10" t="s">
        <v>19</v>
      </c>
      <c r="D28" s="202">
        <v>84111.360000000001</v>
      </c>
      <c r="E28" s="225">
        <v>53865.82</v>
      </c>
      <c r="F28" s="71"/>
    </row>
    <row r="29" spans="2:6">
      <c r="B29" s="104" t="s">
        <v>4</v>
      </c>
      <c r="C29" s="6" t="s">
        <v>20</v>
      </c>
      <c r="D29" s="203">
        <v>66081.47</v>
      </c>
      <c r="E29" s="226">
        <v>53865.82</v>
      </c>
      <c r="F29" s="71"/>
    </row>
    <row r="30" spans="2:6">
      <c r="B30" s="104" t="s">
        <v>6</v>
      </c>
      <c r="C30" s="6" t="s">
        <v>21</v>
      </c>
      <c r="D30" s="203"/>
      <c r="E30" s="226"/>
      <c r="F30" s="71"/>
    </row>
    <row r="31" spans="2:6">
      <c r="B31" s="104" t="s">
        <v>8</v>
      </c>
      <c r="C31" s="6" t="s">
        <v>22</v>
      </c>
      <c r="D31" s="203">
        <v>18029.89</v>
      </c>
      <c r="E31" s="226"/>
      <c r="F31" s="71"/>
    </row>
    <row r="32" spans="2:6">
      <c r="B32" s="92" t="s">
        <v>23</v>
      </c>
      <c r="C32" s="11" t="s">
        <v>24</v>
      </c>
      <c r="D32" s="202">
        <v>13089194.810000001</v>
      </c>
      <c r="E32" s="225">
        <f>SUM(E33:E39)</f>
        <v>14402313.909999998</v>
      </c>
      <c r="F32" s="71"/>
    </row>
    <row r="33" spans="2:6">
      <c r="B33" s="104" t="s">
        <v>4</v>
      </c>
      <c r="C33" s="6" t="s">
        <v>25</v>
      </c>
      <c r="D33" s="203">
        <v>12375071.99</v>
      </c>
      <c r="E33" s="226">
        <f>13768188.89+49445.87</f>
        <v>13817634.76</v>
      </c>
      <c r="F33" s="71"/>
    </row>
    <row r="34" spans="2:6">
      <c r="B34" s="104" t="s">
        <v>6</v>
      </c>
      <c r="C34" s="6" t="s">
        <v>26</v>
      </c>
      <c r="D34" s="203"/>
      <c r="E34" s="226"/>
      <c r="F34" s="71"/>
    </row>
    <row r="35" spans="2:6">
      <c r="B35" s="104" t="s">
        <v>8</v>
      </c>
      <c r="C35" s="6" t="s">
        <v>27</v>
      </c>
      <c r="D35" s="203">
        <v>209105.51</v>
      </c>
      <c r="E35" s="226">
        <v>195310.7</v>
      </c>
      <c r="F35" s="71"/>
    </row>
    <row r="36" spans="2:6">
      <c r="B36" s="104" t="s">
        <v>9</v>
      </c>
      <c r="C36" s="6" t="s">
        <v>28</v>
      </c>
      <c r="D36" s="203"/>
      <c r="E36" s="226"/>
      <c r="F36" s="71"/>
    </row>
    <row r="37" spans="2:6" ht="25.5">
      <c r="B37" s="104" t="s">
        <v>29</v>
      </c>
      <c r="C37" s="6" t="s">
        <v>30</v>
      </c>
      <c r="D37" s="203"/>
      <c r="E37" s="226"/>
      <c r="F37" s="71"/>
    </row>
    <row r="38" spans="2:6">
      <c r="B38" s="104" t="s">
        <v>31</v>
      </c>
      <c r="C38" s="6" t="s">
        <v>32</v>
      </c>
      <c r="D38" s="203"/>
      <c r="E38" s="226"/>
      <c r="F38" s="71"/>
    </row>
    <row r="39" spans="2:6">
      <c r="B39" s="105" t="s">
        <v>33</v>
      </c>
      <c r="C39" s="12" t="s">
        <v>34</v>
      </c>
      <c r="D39" s="204">
        <v>505017.31</v>
      </c>
      <c r="E39" s="227">
        <v>389368.45</v>
      </c>
      <c r="F39" s="71"/>
    </row>
    <row r="40" spans="2:6" ht="13.5" thickBot="1">
      <c r="B40" s="97" t="s">
        <v>35</v>
      </c>
      <c r="C40" s="98" t="s">
        <v>36</v>
      </c>
      <c r="D40" s="205">
        <v>-11785521.970000001</v>
      </c>
      <c r="E40" s="232">
        <v>2578027.0299999998</v>
      </c>
    </row>
    <row r="41" spans="2:6" ht="13.5" thickBot="1">
      <c r="B41" s="99" t="s">
        <v>37</v>
      </c>
      <c r="C41" s="100" t="s">
        <v>38</v>
      </c>
      <c r="D41" s="206">
        <v>116897431.08999999</v>
      </c>
      <c r="E41" s="148">
        <f>E26+E27+E40</f>
        <v>105127010.03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63"/>
      <c r="D43" s="363"/>
      <c r="E43" s="363"/>
    </row>
    <row r="44" spans="2:6" ht="18" customHeight="1" thickBot="1">
      <c r="B44" s="360" t="s">
        <v>121</v>
      </c>
      <c r="C44" s="364"/>
      <c r="D44" s="364"/>
      <c r="E44" s="364"/>
    </row>
    <row r="45" spans="2:6" ht="13.5" thickBot="1">
      <c r="B45" s="88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7">
        <v>13172685.1964</v>
      </c>
      <c r="E47" s="73">
        <v>11898562.88768</v>
      </c>
    </row>
    <row r="48" spans="2:6">
      <c r="B48" s="123" t="s">
        <v>6</v>
      </c>
      <c r="C48" s="22" t="s">
        <v>41</v>
      </c>
      <c r="D48" s="207">
        <v>11898562.88768</v>
      </c>
      <c r="E48" s="73">
        <v>10472691.497099999</v>
      </c>
    </row>
    <row r="49" spans="2:5">
      <c r="B49" s="120" t="s">
        <v>23</v>
      </c>
      <c r="C49" s="124" t="s">
        <v>113</v>
      </c>
      <c r="D49" s="208"/>
      <c r="E49" s="73"/>
    </row>
    <row r="50" spans="2:5">
      <c r="B50" s="102" t="s">
        <v>4</v>
      </c>
      <c r="C50" s="15" t="s">
        <v>40</v>
      </c>
      <c r="D50" s="207">
        <v>10.7562</v>
      </c>
      <c r="E50" s="73">
        <v>9.8245000000000005</v>
      </c>
    </row>
    <row r="51" spans="2:5">
      <c r="B51" s="102" t="s">
        <v>6</v>
      </c>
      <c r="C51" s="15" t="s">
        <v>114</v>
      </c>
      <c r="D51" s="207">
        <v>9.6359999999999992</v>
      </c>
      <c r="E51" s="75">
        <v>9.7561</v>
      </c>
    </row>
    <row r="52" spans="2:5" ht="12.75" customHeight="1">
      <c r="B52" s="102" t="s">
        <v>8</v>
      </c>
      <c r="C52" s="15" t="s">
        <v>115</v>
      </c>
      <c r="D52" s="207">
        <v>11.0343</v>
      </c>
      <c r="E52" s="75">
        <v>10.277100000000001</v>
      </c>
    </row>
    <row r="53" spans="2:5" ht="13.5" thickBot="1">
      <c r="B53" s="103" t="s">
        <v>9</v>
      </c>
      <c r="C53" s="17" t="s">
        <v>41</v>
      </c>
      <c r="D53" s="209">
        <v>9.8245000000000005</v>
      </c>
      <c r="E53" s="233">
        <v>10.0382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8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105432298.09</v>
      </c>
      <c r="E58" s="31">
        <f>D58/E21</f>
        <v>1.0029039926077312</v>
      </c>
    </row>
    <row r="59" spans="2:5" ht="25.5">
      <c r="B59" s="187" t="s">
        <v>4</v>
      </c>
      <c r="C59" s="188" t="s">
        <v>44</v>
      </c>
      <c r="D59" s="80">
        <v>0</v>
      </c>
      <c r="E59" s="81">
        <v>0</v>
      </c>
    </row>
    <row r="60" spans="2:5" ht="24" customHeight="1">
      <c r="B60" s="185" t="s">
        <v>6</v>
      </c>
      <c r="C60" s="186" t="s">
        <v>45</v>
      </c>
      <c r="D60" s="78">
        <v>0</v>
      </c>
      <c r="E60" s="79">
        <v>0</v>
      </c>
    </row>
    <row r="61" spans="2:5">
      <c r="B61" s="185" t="s">
        <v>8</v>
      </c>
      <c r="C61" s="186" t="s">
        <v>46</v>
      </c>
      <c r="D61" s="78">
        <v>0</v>
      </c>
      <c r="E61" s="79">
        <v>0</v>
      </c>
    </row>
    <row r="62" spans="2:5">
      <c r="B62" s="185" t="s">
        <v>9</v>
      </c>
      <c r="C62" s="186" t="s">
        <v>47</v>
      </c>
      <c r="D62" s="78">
        <v>0</v>
      </c>
      <c r="E62" s="79">
        <v>0</v>
      </c>
    </row>
    <row r="63" spans="2:5">
      <c r="B63" s="185" t="s">
        <v>29</v>
      </c>
      <c r="C63" s="186" t="s">
        <v>48</v>
      </c>
      <c r="D63" s="78">
        <v>0</v>
      </c>
      <c r="E63" s="79">
        <v>0</v>
      </c>
    </row>
    <row r="64" spans="2:5">
      <c r="B64" s="187" t="s">
        <v>31</v>
      </c>
      <c r="C64" s="188" t="s">
        <v>49</v>
      </c>
      <c r="D64" s="80">
        <f>E12</f>
        <v>105432298.09</v>
      </c>
      <c r="E64" s="81">
        <f>D64/E21</f>
        <v>1.0029039926077312</v>
      </c>
    </row>
    <row r="65" spans="2:5">
      <c r="B65" s="187" t="s">
        <v>33</v>
      </c>
      <c r="C65" s="188" t="s">
        <v>118</v>
      </c>
      <c r="D65" s="80">
        <v>0</v>
      </c>
      <c r="E65" s="81">
        <v>0</v>
      </c>
    </row>
    <row r="66" spans="2:5">
      <c r="B66" s="187" t="s">
        <v>50</v>
      </c>
      <c r="C66" s="188" t="s">
        <v>51</v>
      </c>
      <c r="D66" s="80">
        <v>0</v>
      </c>
      <c r="E66" s="81">
        <v>0</v>
      </c>
    </row>
    <row r="67" spans="2:5">
      <c r="B67" s="185" t="s">
        <v>52</v>
      </c>
      <c r="C67" s="186" t="s">
        <v>53</v>
      </c>
      <c r="D67" s="78">
        <v>0</v>
      </c>
      <c r="E67" s="79">
        <v>0</v>
      </c>
    </row>
    <row r="68" spans="2:5">
      <c r="B68" s="185" t="s">
        <v>54</v>
      </c>
      <c r="C68" s="186" t="s">
        <v>55</v>
      </c>
      <c r="D68" s="78">
        <v>0</v>
      </c>
      <c r="E68" s="79">
        <v>0</v>
      </c>
    </row>
    <row r="69" spans="2:5">
      <c r="B69" s="185" t="s">
        <v>56</v>
      </c>
      <c r="C69" s="186" t="s">
        <v>57</v>
      </c>
      <c r="D69" s="274">
        <v>0</v>
      </c>
      <c r="E69" s="79">
        <v>0</v>
      </c>
    </row>
    <row r="70" spans="2:5">
      <c r="B70" s="238" t="s">
        <v>58</v>
      </c>
      <c r="C70" s="237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f>E13</f>
        <v>1947.36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f>E17</f>
        <v>307235.42</v>
      </c>
      <c r="E73" s="26">
        <f>D73/E21</f>
        <v>2.9225164866034381E-3</v>
      </c>
    </row>
    <row r="74" spans="2:5">
      <c r="B74" s="130" t="s">
        <v>64</v>
      </c>
      <c r="C74" s="121" t="s">
        <v>66</v>
      </c>
      <c r="D74" s="122">
        <f>D58+D71-D73</f>
        <v>105127010.03</v>
      </c>
      <c r="E74" s="66">
        <f>E58+E72-E73</f>
        <v>0.99998147612112775</v>
      </c>
    </row>
    <row r="75" spans="2:5">
      <c r="B75" s="185" t="s">
        <v>4</v>
      </c>
      <c r="C75" s="186" t="s">
        <v>67</v>
      </c>
      <c r="D75" s="78">
        <f>D74</f>
        <v>105127010.03</v>
      </c>
      <c r="E75" s="79">
        <f>E74</f>
        <v>0.99998147612112775</v>
      </c>
    </row>
    <row r="76" spans="2:5">
      <c r="B76" s="185" t="s">
        <v>6</v>
      </c>
      <c r="C76" s="186" t="s">
        <v>119</v>
      </c>
      <c r="D76" s="78">
        <v>0</v>
      </c>
      <c r="E76" s="79">
        <v>0</v>
      </c>
    </row>
    <row r="77" spans="2:5" ht="13.5" thickBot="1">
      <c r="B77" s="189" t="s">
        <v>8</v>
      </c>
      <c r="C77" s="190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3" right="0.75" top="0.56000000000000005" bottom="0.47" header="0.5" footer="0.5"/>
  <pageSetup paperSize="9" scale="7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/>
  <dimension ref="A1:G81"/>
  <sheetViews>
    <sheetView topLeftCell="A34"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87"/>
      <c r="C4" s="87"/>
      <c r="D4" s="87"/>
      <c r="E4" s="87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70</v>
      </c>
      <c r="C6" s="359"/>
      <c r="D6" s="359"/>
      <c r="E6" s="359"/>
    </row>
    <row r="7" spans="2:7" ht="14.25">
      <c r="B7" s="89"/>
      <c r="C7" s="89"/>
      <c r="D7" s="89"/>
      <c r="E7" s="89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88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102032819.12</v>
      </c>
      <c r="E11" s="244">
        <f>SUM(E12:E14)</f>
        <v>97587906.030000001</v>
      </c>
    </row>
    <row r="12" spans="2:7">
      <c r="B12" s="106" t="s">
        <v>4</v>
      </c>
      <c r="C12" s="6" t="s">
        <v>5</v>
      </c>
      <c r="D12" s="283">
        <v>102032819.12</v>
      </c>
      <c r="E12" s="304">
        <f>97734240.81-146334.78</f>
        <v>97587906.030000001</v>
      </c>
    </row>
    <row r="13" spans="2:7">
      <c r="B13" s="106" t="s">
        <v>6</v>
      </c>
      <c r="C13" s="68" t="s">
        <v>7</v>
      </c>
      <c r="D13" s="276"/>
      <c r="E13" s="305"/>
    </row>
    <row r="14" spans="2:7">
      <c r="B14" s="106" t="s">
        <v>8</v>
      </c>
      <c r="C14" s="68" t="s">
        <v>10</v>
      </c>
      <c r="D14" s="276"/>
      <c r="E14" s="305"/>
    </row>
    <row r="15" spans="2:7">
      <c r="B15" s="106" t="s">
        <v>106</v>
      </c>
      <c r="C15" s="68" t="s">
        <v>11</v>
      </c>
      <c r="D15" s="276"/>
      <c r="E15" s="305"/>
    </row>
    <row r="16" spans="2:7">
      <c r="B16" s="107" t="s">
        <v>107</v>
      </c>
      <c r="C16" s="91" t="s">
        <v>12</v>
      </c>
      <c r="D16" s="278"/>
      <c r="E16" s="306"/>
    </row>
    <row r="17" spans="2:6">
      <c r="B17" s="9" t="s">
        <v>13</v>
      </c>
      <c r="C17" s="11" t="s">
        <v>65</v>
      </c>
      <c r="D17" s="279">
        <v>429942.05</v>
      </c>
      <c r="E17" s="307">
        <f>E18</f>
        <v>286695.46999999997</v>
      </c>
    </row>
    <row r="18" spans="2:6">
      <c r="B18" s="106" t="s">
        <v>4</v>
      </c>
      <c r="C18" s="6" t="s">
        <v>11</v>
      </c>
      <c r="D18" s="278">
        <v>429942.05</v>
      </c>
      <c r="E18" s="306">
        <v>286695.46999999997</v>
      </c>
    </row>
    <row r="19" spans="2:6" ht="15" customHeight="1">
      <c r="B19" s="106" t="s">
        <v>6</v>
      </c>
      <c r="C19" s="68" t="s">
        <v>108</v>
      </c>
      <c r="D19" s="276"/>
      <c r="E19" s="305"/>
    </row>
    <row r="20" spans="2:6" ht="13.5" thickBot="1">
      <c r="B20" s="108" t="s">
        <v>8</v>
      </c>
      <c r="C20" s="69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101602877.07000001</v>
      </c>
      <c r="E21" s="148">
        <f>E11-E17</f>
        <v>97301210.560000002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69"/>
      <c r="D23" s="369"/>
      <c r="E23" s="369"/>
    </row>
    <row r="24" spans="2:6" ht="15.75" customHeight="1" thickBot="1">
      <c r="B24" s="360" t="s">
        <v>105</v>
      </c>
      <c r="C24" s="370"/>
      <c r="D24" s="370"/>
      <c r="E24" s="370"/>
    </row>
    <row r="25" spans="2:6" ht="13.5" thickBot="1">
      <c r="B25" s="88"/>
      <c r="C25" s="5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131571067.18000001</v>
      </c>
      <c r="E26" s="231">
        <f>D21</f>
        <v>101602877.07000001</v>
      </c>
    </row>
    <row r="27" spans="2:6">
      <c r="B27" s="9" t="s">
        <v>17</v>
      </c>
      <c r="C27" s="10" t="s">
        <v>111</v>
      </c>
      <c r="D27" s="202">
        <v>-12640661.500000002</v>
      </c>
      <c r="E27" s="224">
        <f>E28-E32</f>
        <v>-14109532.219999999</v>
      </c>
      <c r="F27" s="71"/>
    </row>
    <row r="28" spans="2:6">
      <c r="B28" s="9" t="s">
        <v>18</v>
      </c>
      <c r="C28" s="10" t="s">
        <v>19</v>
      </c>
      <c r="D28" s="202">
        <v>60199.840000000004</v>
      </c>
      <c r="E28" s="225">
        <v>153344.03999999998</v>
      </c>
      <c r="F28" s="71"/>
    </row>
    <row r="29" spans="2:6">
      <c r="B29" s="104" t="s">
        <v>4</v>
      </c>
      <c r="C29" s="6" t="s">
        <v>20</v>
      </c>
      <c r="D29" s="203">
        <v>58102.86</v>
      </c>
      <c r="E29" s="226">
        <v>56507.09</v>
      </c>
      <c r="F29" s="71"/>
    </row>
    <row r="30" spans="2:6">
      <c r="B30" s="104" t="s">
        <v>6</v>
      </c>
      <c r="C30" s="6" t="s">
        <v>21</v>
      </c>
      <c r="D30" s="203"/>
      <c r="E30" s="226"/>
      <c r="F30" s="71"/>
    </row>
    <row r="31" spans="2:6">
      <c r="B31" s="104" t="s">
        <v>8</v>
      </c>
      <c r="C31" s="6" t="s">
        <v>22</v>
      </c>
      <c r="D31" s="203">
        <v>2096.98</v>
      </c>
      <c r="E31" s="226">
        <v>96836.95</v>
      </c>
      <c r="F31" s="71"/>
    </row>
    <row r="32" spans="2:6">
      <c r="B32" s="92" t="s">
        <v>23</v>
      </c>
      <c r="C32" s="11" t="s">
        <v>24</v>
      </c>
      <c r="D32" s="202">
        <v>12700861.340000002</v>
      </c>
      <c r="E32" s="225">
        <f>SUM(E33:E39)</f>
        <v>14262876.259999998</v>
      </c>
      <c r="F32" s="71"/>
    </row>
    <row r="33" spans="2:6">
      <c r="B33" s="104" t="s">
        <v>4</v>
      </c>
      <c r="C33" s="6" t="s">
        <v>25</v>
      </c>
      <c r="D33" s="203">
        <v>12006222.58</v>
      </c>
      <c r="E33" s="226">
        <f>13671339.86+103027.93</f>
        <v>13774367.789999999</v>
      </c>
      <c r="F33" s="71"/>
    </row>
    <row r="34" spans="2:6">
      <c r="B34" s="104" t="s">
        <v>6</v>
      </c>
      <c r="C34" s="6" t="s">
        <v>26</v>
      </c>
      <c r="D34" s="203"/>
      <c r="E34" s="226"/>
      <c r="F34" s="71"/>
    </row>
    <row r="35" spans="2:6">
      <c r="B35" s="104" t="s">
        <v>8</v>
      </c>
      <c r="C35" s="6" t="s">
        <v>27</v>
      </c>
      <c r="D35" s="203">
        <v>176480.13</v>
      </c>
      <c r="E35" s="226">
        <v>158083.37</v>
      </c>
      <c r="F35" s="71"/>
    </row>
    <row r="36" spans="2:6">
      <c r="B36" s="104" t="s">
        <v>9</v>
      </c>
      <c r="C36" s="6" t="s">
        <v>28</v>
      </c>
      <c r="D36" s="203"/>
      <c r="E36" s="226"/>
      <c r="F36" s="71"/>
    </row>
    <row r="37" spans="2:6" ht="25.5">
      <c r="B37" s="104" t="s">
        <v>29</v>
      </c>
      <c r="C37" s="6" t="s">
        <v>30</v>
      </c>
      <c r="D37" s="203"/>
      <c r="E37" s="226"/>
      <c r="F37" s="71"/>
    </row>
    <row r="38" spans="2:6">
      <c r="B38" s="104" t="s">
        <v>31</v>
      </c>
      <c r="C38" s="6" t="s">
        <v>32</v>
      </c>
      <c r="D38" s="203"/>
      <c r="E38" s="226"/>
      <c r="F38" s="71"/>
    </row>
    <row r="39" spans="2:6">
      <c r="B39" s="105" t="s">
        <v>33</v>
      </c>
      <c r="C39" s="12" t="s">
        <v>34</v>
      </c>
      <c r="D39" s="204">
        <v>518158.63</v>
      </c>
      <c r="E39" s="227">
        <v>330425.09999999998</v>
      </c>
      <c r="F39" s="71"/>
    </row>
    <row r="40" spans="2:6" ht="13.5" thickBot="1">
      <c r="B40" s="97" t="s">
        <v>35</v>
      </c>
      <c r="C40" s="98" t="s">
        <v>36</v>
      </c>
      <c r="D40" s="205">
        <v>-17327528.609999999</v>
      </c>
      <c r="E40" s="232">
        <v>9807865.7100000009</v>
      </c>
    </row>
    <row r="41" spans="2:6" ht="13.5" thickBot="1">
      <c r="B41" s="99" t="s">
        <v>37</v>
      </c>
      <c r="C41" s="100" t="s">
        <v>38</v>
      </c>
      <c r="D41" s="206">
        <v>101602877.07000001</v>
      </c>
      <c r="E41" s="148">
        <f>E26+E27+E40</f>
        <v>97301210.560000002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63"/>
      <c r="D43" s="363"/>
      <c r="E43" s="363"/>
    </row>
    <row r="44" spans="2:6" ht="18" customHeight="1" thickBot="1">
      <c r="B44" s="360" t="s">
        <v>121</v>
      </c>
      <c r="C44" s="364"/>
      <c r="D44" s="364"/>
      <c r="E44" s="364"/>
    </row>
    <row r="45" spans="2:6" ht="13.5" thickBot="1">
      <c r="B45" s="88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7">
        <v>8993667.9935999997</v>
      </c>
      <c r="E47" s="73">
        <v>8079430.405948</v>
      </c>
    </row>
    <row r="48" spans="2:6">
      <c r="B48" s="123" t="s">
        <v>6</v>
      </c>
      <c r="C48" s="22" t="s">
        <v>41</v>
      </c>
      <c r="D48" s="207">
        <v>8079430.405948</v>
      </c>
      <c r="E48" s="73">
        <v>7036308.9261999996</v>
      </c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02" t="s">
        <v>4</v>
      </c>
      <c r="C50" s="15" t="s">
        <v>40</v>
      </c>
      <c r="D50" s="207">
        <v>14.629300000000001</v>
      </c>
      <c r="E50" s="73">
        <v>12.5755</v>
      </c>
    </row>
    <row r="51" spans="2:5">
      <c r="B51" s="102" t="s">
        <v>6</v>
      </c>
      <c r="C51" s="15" t="s">
        <v>114</v>
      </c>
      <c r="D51" s="207">
        <v>12.4655</v>
      </c>
      <c r="E51" s="75">
        <v>12.4817</v>
      </c>
    </row>
    <row r="52" spans="2:5" ht="12.75" customHeight="1">
      <c r="B52" s="102" t="s">
        <v>8</v>
      </c>
      <c r="C52" s="15" t="s">
        <v>115</v>
      </c>
      <c r="D52" s="207">
        <v>15.176</v>
      </c>
      <c r="E52" s="75">
        <v>13.945600000000001</v>
      </c>
    </row>
    <row r="53" spans="2:5" ht="13.5" thickBot="1">
      <c r="B53" s="103" t="s">
        <v>9</v>
      </c>
      <c r="C53" s="17" t="s">
        <v>41</v>
      </c>
      <c r="D53" s="209">
        <v>12.5755</v>
      </c>
      <c r="E53" s="233">
        <v>13.8284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7.2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97587906.030000001</v>
      </c>
      <c r="E58" s="31">
        <f>D58/E21</f>
        <v>1.002946473824426</v>
      </c>
    </row>
    <row r="59" spans="2:5" ht="25.5">
      <c r="B59" s="187" t="s">
        <v>4</v>
      </c>
      <c r="C59" s="188" t="s">
        <v>44</v>
      </c>
      <c r="D59" s="80">
        <v>0</v>
      </c>
      <c r="E59" s="81">
        <v>0</v>
      </c>
    </row>
    <row r="60" spans="2:5" ht="24" customHeight="1">
      <c r="B60" s="185" t="s">
        <v>6</v>
      </c>
      <c r="C60" s="186" t="s">
        <v>45</v>
      </c>
      <c r="D60" s="78">
        <v>0</v>
      </c>
      <c r="E60" s="79">
        <v>0</v>
      </c>
    </row>
    <row r="61" spans="2:5">
      <c r="B61" s="185" t="s">
        <v>8</v>
      </c>
      <c r="C61" s="186" t="s">
        <v>46</v>
      </c>
      <c r="D61" s="78">
        <v>0</v>
      </c>
      <c r="E61" s="79">
        <v>0</v>
      </c>
    </row>
    <row r="62" spans="2:5">
      <c r="B62" s="185" t="s">
        <v>9</v>
      </c>
      <c r="C62" s="186" t="s">
        <v>47</v>
      </c>
      <c r="D62" s="78">
        <v>0</v>
      </c>
      <c r="E62" s="79">
        <v>0</v>
      </c>
    </row>
    <row r="63" spans="2:5">
      <c r="B63" s="185" t="s">
        <v>29</v>
      </c>
      <c r="C63" s="186" t="s">
        <v>48</v>
      </c>
      <c r="D63" s="78">
        <v>0</v>
      </c>
      <c r="E63" s="79">
        <v>0</v>
      </c>
    </row>
    <row r="64" spans="2:5">
      <c r="B64" s="187" t="s">
        <v>31</v>
      </c>
      <c r="C64" s="188" t="s">
        <v>49</v>
      </c>
      <c r="D64" s="80">
        <f>E12</f>
        <v>97587906.030000001</v>
      </c>
      <c r="E64" s="81">
        <f>D64/E21</f>
        <v>1.002946473824426</v>
      </c>
    </row>
    <row r="65" spans="2:5">
      <c r="B65" s="187" t="s">
        <v>33</v>
      </c>
      <c r="C65" s="188" t="s">
        <v>118</v>
      </c>
      <c r="D65" s="80">
        <v>0</v>
      </c>
      <c r="E65" s="81">
        <v>0</v>
      </c>
    </row>
    <row r="66" spans="2:5">
      <c r="B66" s="187" t="s">
        <v>50</v>
      </c>
      <c r="C66" s="188" t="s">
        <v>51</v>
      </c>
      <c r="D66" s="80">
        <v>0</v>
      </c>
      <c r="E66" s="81">
        <v>0</v>
      </c>
    </row>
    <row r="67" spans="2:5">
      <c r="B67" s="185" t="s">
        <v>52</v>
      </c>
      <c r="C67" s="186" t="s">
        <v>53</v>
      </c>
      <c r="D67" s="78">
        <v>0</v>
      </c>
      <c r="E67" s="79">
        <v>0</v>
      </c>
    </row>
    <row r="68" spans="2:5">
      <c r="B68" s="185" t="s">
        <v>54</v>
      </c>
      <c r="C68" s="186" t="s">
        <v>55</v>
      </c>
      <c r="D68" s="78">
        <v>0</v>
      </c>
      <c r="E68" s="79">
        <v>0</v>
      </c>
    </row>
    <row r="69" spans="2:5">
      <c r="B69" s="185" t="s">
        <v>56</v>
      </c>
      <c r="C69" s="186" t="s">
        <v>57</v>
      </c>
      <c r="D69" s="274">
        <v>0</v>
      </c>
      <c r="E69" s="79">
        <v>0</v>
      </c>
    </row>
    <row r="70" spans="2:5">
      <c r="B70" s="238" t="s">
        <v>58</v>
      </c>
      <c r="C70" s="237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f>D72/E21</f>
        <v>0</v>
      </c>
    </row>
    <row r="73" spans="2:5">
      <c r="B73" s="132" t="s">
        <v>62</v>
      </c>
      <c r="C73" s="24" t="s">
        <v>65</v>
      </c>
      <c r="D73" s="25">
        <f>E17</f>
        <v>286695.46999999997</v>
      </c>
      <c r="E73" s="26">
        <f>D73/E21</f>
        <v>2.9464738244259717E-3</v>
      </c>
    </row>
    <row r="74" spans="2:5">
      <c r="B74" s="130" t="s">
        <v>64</v>
      </c>
      <c r="C74" s="121" t="s">
        <v>66</v>
      </c>
      <c r="D74" s="122">
        <f>D58+D72-D73</f>
        <v>97301210.560000002</v>
      </c>
      <c r="E74" s="66">
        <f>E58+E72-E73</f>
        <v>1</v>
      </c>
    </row>
    <row r="75" spans="2:5">
      <c r="B75" s="185" t="s">
        <v>4</v>
      </c>
      <c r="C75" s="186" t="s">
        <v>67</v>
      </c>
      <c r="D75" s="78">
        <f>D74</f>
        <v>97301210.560000002</v>
      </c>
      <c r="E75" s="79">
        <f>E74</f>
        <v>1</v>
      </c>
    </row>
    <row r="76" spans="2:5">
      <c r="B76" s="185" t="s">
        <v>6</v>
      </c>
      <c r="C76" s="186" t="s">
        <v>119</v>
      </c>
      <c r="D76" s="78">
        <v>0</v>
      </c>
      <c r="E76" s="79">
        <v>0</v>
      </c>
    </row>
    <row r="77" spans="2:5" ht="13.5" thickBot="1">
      <c r="B77" s="189" t="s">
        <v>8</v>
      </c>
      <c r="C77" s="190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65" right="0.75" top="0.52" bottom="0.51" header="0.5" footer="0.5"/>
  <pageSetup paperSize="9" scale="7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87"/>
      <c r="C4" s="87"/>
      <c r="D4" s="87"/>
      <c r="E4" s="87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71</v>
      </c>
      <c r="C6" s="359"/>
      <c r="D6" s="359"/>
      <c r="E6" s="359"/>
    </row>
    <row r="7" spans="2:7" ht="14.25">
      <c r="B7" s="89"/>
      <c r="C7" s="89"/>
      <c r="D7" s="89"/>
      <c r="E7" s="89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88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94" t="s">
        <v>109</v>
      </c>
      <c r="D11" s="243">
        <v>11581951.910000002</v>
      </c>
      <c r="E11" s="244">
        <f>SUM(E12:E14)</f>
        <v>11915719.76</v>
      </c>
    </row>
    <row r="12" spans="2:7">
      <c r="B12" s="106" t="s">
        <v>4</v>
      </c>
      <c r="C12" s="195" t="s">
        <v>5</v>
      </c>
      <c r="D12" s="283">
        <v>11581537.360000001</v>
      </c>
      <c r="E12" s="304">
        <f>11916420.37-700.61</f>
        <v>11915719.76</v>
      </c>
    </row>
    <row r="13" spans="2:7">
      <c r="B13" s="106" t="s">
        <v>6</v>
      </c>
      <c r="C13" s="195" t="s">
        <v>7</v>
      </c>
      <c r="D13" s="276"/>
      <c r="E13" s="305"/>
    </row>
    <row r="14" spans="2:7">
      <c r="B14" s="106" t="s">
        <v>8</v>
      </c>
      <c r="C14" s="195" t="s">
        <v>10</v>
      </c>
      <c r="D14" s="276">
        <v>414.55</v>
      </c>
      <c r="E14" s="305"/>
    </row>
    <row r="15" spans="2:7">
      <c r="B15" s="106" t="s">
        <v>106</v>
      </c>
      <c r="C15" s="195" t="s">
        <v>11</v>
      </c>
      <c r="D15" s="276">
        <v>414.55</v>
      </c>
      <c r="E15" s="305"/>
    </row>
    <row r="16" spans="2:7">
      <c r="B16" s="107" t="s">
        <v>107</v>
      </c>
      <c r="C16" s="196" t="s">
        <v>12</v>
      </c>
      <c r="D16" s="278"/>
      <c r="E16" s="306"/>
    </row>
    <row r="17" spans="2:6">
      <c r="B17" s="9" t="s">
        <v>13</v>
      </c>
      <c r="C17" s="197" t="s">
        <v>65</v>
      </c>
      <c r="D17" s="279">
        <v>33629.39</v>
      </c>
      <c r="E17" s="307">
        <f>E18</f>
        <v>39347.39</v>
      </c>
    </row>
    <row r="18" spans="2:6">
      <c r="B18" s="106" t="s">
        <v>4</v>
      </c>
      <c r="C18" s="195" t="s">
        <v>11</v>
      </c>
      <c r="D18" s="278">
        <v>33629.39</v>
      </c>
      <c r="E18" s="306">
        <v>39347.39</v>
      </c>
    </row>
    <row r="19" spans="2:6" ht="15" customHeight="1">
      <c r="B19" s="106" t="s">
        <v>6</v>
      </c>
      <c r="C19" s="195" t="s">
        <v>108</v>
      </c>
      <c r="D19" s="276"/>
      <c r="E19" s="305"/>
    </row>
    <row r="20" spans="2:6" ht="13.5" thickBot="1">
      <c r="B20" s="108" t="s">
        <v>8</v>
      </c>
      <c r="C20" s="69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11548322.520000001</v>
      </c>
      <c r="E21" s="148">
        <f>E11-E17</f>
        <v>11876372.369999999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69"/>
      <c r="D23" s="369"/>
      <c r="E23" s="369"/>
    </row>
    <row r="24" spans="2:6" ht="15.75" customHeight="1" thickBot="1">
      <c r="B24" s="360" t="s">
        <v>105</v>
      </c>
      <c r="C24" s="370"/>
      <c r="D24" s="370"/>
      <c r="E24" s="370"/>
    </row>
    <row r="25" spans="2:6" ht="13.5" thickBot="1">
      <c r="B25" s="88"/>
      <c r="C25" s="5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14138176.279999999</v>
      </c>
      <c r="E26" s="231">
        <f>D21</f>
        <v>11548322.520000001</v>
      </c>
    </row>
    <row r="27" spans="2:6">
      <c r="B27" s="9" t="s">
        <v>17</v>
      </c>
      <c r="C27" s="10" t="s">
        <v>111</v>
      </c>
      <c r="D27" s="202">
        <v>-1655538.6900000002</v>
      </c>
      <c r="E27" s="224">
        <f>E28-E32</f>
        <v>-1517903.5</v>
      </c>
      <c r="F27" s="71"/>
    </row>
    <row r="28" spans="2:6">
      <c r="B28" s="9" t="s">
        <v>18</v>
      </c>
      <c r="C28" s="10" t="s">
        <v>19</v>
      </c>
      <c r="D28" s="202">
        <v>149585.30000000002</v>
      </c>
      <c r="E28" s="225">
        <v>218731.17</v>
      </c>
      <c r="F28" s="71"/>
    </row>
    <row r="29" spans="2:6">
      <c r="B29" s="104" t="s">
        <v>4</v>
      </c>
      <c r="C29" s="6" t="s">
        <v>20</v>
      </c>
      <c r="D29" s="203">
        <v>11662.2</v>
      </c>
      <c r="E29" s="226">
        <v>11704.05</v>
      </c>
      <c r="F29" s="71"/>
    </row>
    <row r="30" spans="2:6">
      <c r="B30" s="104" t="s">
        <v>6</v>
      </c>
      <c r="C30" s="6" t="s">
        <v>21</v>
      </c>
      <c r="D30" s="203"/>
      <c r="E30" s="226"/>
      <c r="F30" s="71"/>
    </row>
    <row r="31" spans="2:6">
      <c r="B31" s="104" t="s">
        <v>8</v>
      </c>
      <c r="C31" s="6" t="s">
        <v>22</v>
      </c>
      <c r="D31" s="203">
        <v>137923.1</v>
      </c>
      <c r="E31" s="226">
        <v>207027.12</v>
      </c>
      <c r="F31" s="71"/>
    </row>
    <row r="32" spans="2:6">
      <c r="B32" s="92" t="s">
        <v>23</v>
      </c>
      <c r="C32" s="11" t="s">
        <v>24</v>
      </c>
      <c r="D32" s="202">
        <v>1805123.9900000002</v>
      </c>
      <c r="E32" s="225">
        <f>SUM(E33:E39)</f>
        <v>1736634.67</v>
      </c>
      <c r="F32" s="71"/>
    </row>
    <row r="33" spans="2:6">
      <c r="B33" s="104" t="s">
        <v>4</v>
      </c>
      <c r="C33" s="6" t="s">
        <v>25</v>
      </c>
      <c r="D33" s="203">
        <v>1725536.8900000001</v>
      </c>
      <c r="E33" s="226">
        <f>1700506.7-3740.66</f>
        <v>1696766.04</v>
      </c>
      <c r="F33" s="71"/>
    </row>
    <row r="34" spans="2:6">
      <c r="B34" s="104" t="s">
        <v>6</v>
      </c>
      <c r="C34" s="6" t="s">
        <v>26</v>
      </c>
      <c r="D34" s="203"/>
      <c r="E34" s="226"/>
      <c r="F34" s="71"/>
    </row>
    <row r="35" spans="2:6">
      <c r="B35" s="104" t="s">
        <v>8</v>
      </c>
      <c r="C35" s="6" t="s">
        <v>27</v>
      </c>
      <c r="D35" s="203">
        <v>19219.36</v>
      </c>
      <c r="E35" s="226">
        <v>17991.13</v>
      </c>
      <c r="F35" s="71"/>
    </row>
    <row r="36" spans="2:6">
      <c r="B36" s="104" t="s">
        <v>9</v>
      </c>
      <c r="C36" s="6" t="s">
        <v>28</v>
      </c>
      <c r="D36" s="203"/>
      <c r="E36" s="226"/>
      <c r="F36" s="71"/>
    </row>
    <row r="37" spans="2:6" ht="25.5">
      <c r="B37" s="104" t="s">
        <v>29</v>
      </c>
      <c r="C37" s="6" t="s">
        <v>30</v>
      </c>
      <c r="D37" s="203"/>
      <c r="E37" s="226"/>
      <c r="F37" s="71"/>
    </row>
    <row r="38" spans="2:6">
      <c r="B38" s="104" t="s">
        <v>31</v>
      </c>
      <c r="C38" s="6" t="s">
        <v>32</v>
      </c>
      <c r="D38" s="203"/>
      <c r="E38" s="226"/>
      <c r="F38" s="71"/>
    </row>
    <row r="39" spans="2:6">
      <c r="B39" s="105" t="s">
        <v>33</v>
      </c>
      <c r="C39" s="12" t="s">
        <v>34</v>
      </c>
      <c r="D39" s="204">
        <v>60367.74</v>
      </c>
      <c r="E39" s="227">
        <v>21877.5</v>
      </c>
      <c r="F39" s="71"/>
    </row>
    <row r="40" spans="2:6" ht="13.5" thickBot="1">
      <c r="B40" s="97" t="s">
        <v>35</v>
      </c>
      <c r="C40" s="98" t="s">
        <v>36</v>
      </c>
      <c r="D40" s="205">
        <v>-934315.07</v>
      </c>
      <c r="E40" s="232">
        <v>1845953.35</v>
      </c>
    </row>
    <row r="41" spans="2:6" ht="13.5" thickBot="1">
      <c r="B41" s="99" t="s">
        <v>37</v>
      </c>
      <c r="C41" s="100" t="s">
        <v>38</v>
      </c>
      <c r="D41" s="206">
        <v>11548322.52</v>
      </c>
      <c r="E41" s="148">
        <f>E26+E27+E40</f>
        <v>11876372.370000001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63"/>
      <c r="D43" s="363"/>
      <c r="E43" s="363"/>
    </row>
    <row r="44" spans="2:6" ht="18" customHeight="1" thickBot="1">
      <c r="B44" s="360" t="s">
        <v>121</v>
      </c>
      <c r="C44" s="364"/>
      <c r="D44" s="364"/>
      <c r="E44" s="364"/>
    </row>
    <row r="45" spans="2:6" ht="13.5" thickBot="1">
      <c r="B45" s="88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7">
        <v>926962.28419999999</v>
      </c>
      <c r="E47" s="73">
        <v>817991.52280000004</v>
      </c>
    </row>
    <row r="48" spans="2:6">
      <c r="B48" s="123" t="s">
        <v>6</v>
      </c>
      <c r="C48" s="22" t="s">
        <v>41</v>
      </c>
      <c r="D48" s="207">
        <v>817991.52280000004</v>
      </c>
      <c r="E48" s="73">
        <v>721664.47169999999</v>
      </c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02" t="s">
        <v>4</v>
      </c>
      <c r="C50" s="15" t="s">
        <v>40</v>
      </c>
      <c r="D50" s="207">
        <v>15.2522</v>
      </c>
      <c r="E50" s="73">
        <v>14.117900000000001</v>
      </c>
    </row>
    <row r="51" spans="2:5">
      <c r="B51" s="102" t="s">
        <v>6</v>
      </c>
      <c r="C51" s="15" t="s">
        <v>114</v>
      </c>
      <c r="D51" s="207">
        <v>14.0402</v>
      </c>
      <c r="E51" s="75">
        <v>14.116400000000001</v>
      </c>
    </row>
    <row r="52" spans="2:5" ht="12.75" customHeight="1">
      <c r="B52" s="102" t="s">
        <v>8</v>
      </c>
      <c r="C52" s="15" t="s">
        <v>115</v>
      </c>
      <c r="D52" s="207">
        <v>15.8848</v>
      </c>
      <c r="E52" s="75">
        <v>16.677600000000002</v>
      </c>
    </row>
    <row r="53" spans="2:5" ht="13.5" thickBot="1">
      <c r="B53" s="103" t="s">
        <v>9</v>
      </c>
      <c r="C53" s="17" t="s">
        <v>41</v>
      </c>
      <c r="D53" s="209">
        <v>14.117900000000001</v>
      </c>
      <c r="E53" s="233">
        <v>16.456900000000001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7.2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11915719.76</v>
      </c>
      <c r="E58" s="31">
        <f>D58/E21</f>
        <v>1.0033130815348459</v>
      </c>
    </row>
    <row r="59" spans="2:5" ht="25.5">
      <c r="B59" s="187" t="s">
        <v>4</v>
      </c>
      <c r="C59" s="188" t="s">
        <v>44</v>
      </c>
      <c r="D59" s="80">
        <v>0</v>
      </c>
      <c r="E59" s="81">
        <v>0</v>
      </c>
    </row>
    <row r="60" spans="2:5" ht="24" customHeight="1">
      <c r="B60" s="185" t="s">
        <v>6</v>
      </c>
      <c r="C60" s="186" t="s">
        <v>45</v>
      </c>
      <c r="D60" s="78">
        <v>0</v>
      </c>
      <c r="E60" s="79">
        <v>0</v>
      </c>
    </row>
    <row r="61" spans="2:5">
      <c r="B61" s="185" t="s">
        <v>8</v>
      </c>
      <c r="C61" s="186" t="s">
        <v>46</v>
      </c>
      <c r="D61" s="78">
        <v>0</v>
      </c>
      <c r="E61" s="79">
        <v>0</v>
      </c>
    </row>
    <row r="62" spans="2:5">
      <c r="B62" s="185" t="s">
        <v>9</v>
      </c>
      <c r="C62" s="186" t="s">
        <v>47</v>
      </c>
      <c r="D62" s="78">
        <v>0</v>
      </c>
      <c r="E62" s="79">
        <v>0</v>
      </c>
    </row>
    <row r="63" spans="2:5">
      <c r="B63" s="185" t="s">
        <v>29</v>
      </c>
      <c r="C63" s="186" t="s">
        <v>48</v>
      </c>
      <c r="D63" s="78">
        <v>0</v>
      </c>
      <c r="E63" s="79">
        <v>0</v>
      </c>
    </row>
    <row r="64" spans="2:5">
      <c r="B64" s="187" t="s">
        <v>31</v>
      </c>
      <c r="C64" s="188" t="s">
        <v>49</v>
      </c>
      <c r="D64" s="80">
        <f>E12</f>
        <v>11915719.76</v>
      </c>
      <c r="E64" s="81">
        <f>D64/E21</f>
        <v>1.0033130815348459</v>
      </c>
    </row>
    <row r="65" spans="2:5">
      <c r="B65" s="187" t="s">
        <v>33</v>
      </c>
      <c r="C65" s="188" t="s">
        <v>118</v>
      </c>
      <c r="D65" s="80">
        <v>0</v>
      </c>
      <c r="E65" s="81">
        <v>0</v>
      </c>
    </row>
    <row r="66" spans="2:5">
      <c r="B66" s="187" t="s">
        <v>50</v>
      </c>
      <c r="C66" s="188" t="s">
        <v>51</v>
      </c>
      <c r="D66" s="80">
        <v>0</v>
      </c>
      <c r="E66" s="81">
        <v>0</v>
      </c>
    </row>
    <row r="67" spans="2:5">
      <c r="B67" s="185" t="s">
        <v>52</v>
      </c>
      <c r="C67" s="186" t="s">
        <v>53</v>
      </c>
      <c r="D67" s="78">
        <v>0</v>
      </c>
      <c r="E67" s="79">
        <v>0</v>
      </c>
    </row>
    <row r="68" spans="2:5">
      <c r="B68" s="185" t="s">
        <v>54</v>
      </c>
      <c r="C68" s="186" t="s">
        <v>55</v>
      </c>
      <c r="D68" s="78">
        <v>0</v>
      </c>
      <c r="E68" s="79">
        <v>0</v>
      </c>
    </row>
    <row r="69" spans="2:5">
      <c r="B69" s="185" t="s">
        <v>56</v>
      </c>
      <c r="C69" s="186" t="s">
        <v>57</v>
      </c>
      <c r="D69" s="274">
        <v>0</v>
      </c>
      <c r="E69" s="79">
        <v>0</v>
      </c>
    </row>
    <row r="70" spans="2:5">
      <c r="B70" s="238" t="s">
        <v>58</v>
      </c>
      <c r="C70" s="237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f>E13</f>
        <v>0</v>
      </c>
      <c r="E71" s="66">
        <f>D71/E21</f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f>E17</f>
        <v>39347.39</v>
      </c>
      <c r="E73" s="26">
        <f>D73/E21</f>
        <v>3.3130815348458129E-3</v>
      </c>
    </row>
    <row r="74" spans="2:5">
      <c r="B74" s="130" t="s">
        <v>64</v>
      </c>
      <c r="C74" s="121" t="s">
        <v>66</v>
      </c>
      <c r="D74" s="122">
        <f>D58+D72-D73</f>
        <v>11876372.369999999</v>
      </c>
      <c r="E74" s="66">
        <f>E58+E71+E72-E73</f>
        <v>1</v>
      </c>
    </row>
    <row r="75" spans="2:5">
      <c r="B75" s="185" t="s">
        <v>4</v>
      </c>
      <c r="C75" s="186" t="s">
        <v>67</v>
      </c>
      <c r="D75" s="78">
        <f>D74</f>
        <v>11876372.369999999</v>
      </c>
      <c r="E75" s="79">
        <f>E74</f>
        <v>1</v>
      </c>
    </row>
    <row r="76" spans="2:5">
      <c r="B76" s="185" t="s">
        <v>6</v>
      </c>
      <c r="C76" s="186" t="s">
        <v>119</v>
      </c>
      <c r="D76" s="78">
        <v>0</v>
      </c>
      <c r="E76" s="79">
        <v>0</v>
      </c>
    </row>
    <row r="77" spans="2:5" ht="13.5" thickBot="1">
      <c r="B77" s="189" t="s">
        <v>8</v>
      </c>
      <c r="C77" s="190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6999999999999995" right="0.75" top="0.56999999999999995" bottom="0.43" header="0.5" footer="0.5"/>
  <pageSetup paperSize="9" scale="7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87"/>
      <c r="C4" s="87"/>
      <c r="D4" s="87"/>
      <c r="E4" s="87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72</v>
      </c>
      <c r="C6" s="359"/>
      <c r="D6" s="359"/>
      <c r="E6" s="359"/>
    </row>
    <row r="7" spans="2:7" ht="14.25">
      <c r="B7" s="89"/>
      <c r="C7" s="89"/>
      <c r="D7" s="89"/>
      <c r="E7" s="89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88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12203176.65</v>
      </c>
      <c r="E11" s="244">
        <f>SUM(E12:E14)</f>
        <v>11601744.469999999</v>
      </c>
    </row>
    <row r="12" spans="2:7">
      <c r="B12" s="106" t="s">
        <v>4</v>
      </c>
      <c r="C12" s="6" t="s">
        <v>5</v>
      </c>
      <c r="D12" s="283">
        <v>12203176.65</v>
      </c>
      <c r="E12" s="304">
        <v>11601744.469999999</v>
      </c>
    </row>
    <row r="13" spans="2:7">
      <c r="B13" s="106" t="s">
        <v>6</v>
      </c>
      <c r="C13" s="68" t="s">
        <v>7</v>
      </c>
      <c r="D13" s="276"/>
      <c r="E13" s="305"/>
    </row>
    <row r="14" spans="2:7">
      <c r="B14" s="106" t="s">
        <v>8</v>
      </c>
      <c r="C14" s="68" t="s">
        <v>10</v>
      </c>
      <c r="D14" s="276"/>
      <c r="E14" s="305"/>
    </row>
    <row r="15" spans="2:7">
      <c r="B15" s="106" t="s">
        <v>106</v>
      </c>
      <c r="C15" s="68" t="s">
        <v>11</v>
      </c>
      <c r="D15" s="276"/>
      <c r="E15" s="305"/>
    </row>
    <row r="16" spans="2:7">
      <c r="B16" s="107" t="s">
        <v>107</v>
      </c>
      <c r="C16" s="91" t="s">
        <v>12</v>
      </c>
      <c r="D16" s="278"/>
      <c r="E16" s="306"/>
    </row>
    <row r="17" spans="2:6">
      <c r="B17" s="9" t="s">
        <v>13</v>
      </c>
      <c r="C17" s="11" t="s">
        <v>65</v>
      </c>
      <c r="D17" s="279">
        <v>42572.61</v>
      </c>
      <c r="E17" s="307">
        <f>E18</f>
        <v>36415.160000000003</v>
      </c>
    </row>
    <row r="18" spans="2:6">
      <c r="B18" s="106" t="s">
        <v>4</v>
      </c>
      <c r="C18" s="6" t="s">
        <v>11</v>
      </c>
      <c r="D18" s="278">
        <v>42572.61</v>
      </c>
      <c r="E18" s="306">
        <v>36415.160000000003</v>
      </c>
    </row>
    <row r="19" spans="2:6" ht="15" customHeight="1">
      <c r="B19" s="106" t="s">
        <v>6</v>
      </c>
      <c r="C19" s="68" t="s">
        <v>108</v>
      </c>
      <c r="D19" s="276"/>
      <c r="E19" s="305"/>
    </row>
    <row r="20" spans="2:6" ht="13.5" thickBot="1">
      <c r="B20" s="108" t="s">
        <v>8</v>
      </c>
      <c r="C20" s="69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12160604.040000001</v>
      </c>
      <c r="E21" s="148">
        <f>E11-E17</f>
        <v>11565329.309999999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69"/>
      <c r="D23" s="369"/>
      <c r="E23" s="369"/>
    </row>
    <row r="24" spans="2:6" ht="15.75" customHeight="1" thickBot="1">
      <c r="B24" s="360" t="s">
        <v>105</v>
      </c>
      <c r="C24" s="370"/>
      <c r="D24" s="370"/>
      <c r="E24" s="370"/>
    </row>
    <row r="25" spans="2:6" ht="13.5" thickBot="1">
      <c r="B25" s="88"/>
      <c r="C25" s="5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15610706.049999999</v>
      </c>
      <c r="E26" s="231">
        <f>D21</f>
        <v>12160604.040000001</v>
      </c>
    </row>
    <row r="27" spans="2:6">
      <c r="B27" s="9" t="s">
        <v>17</v>
      </c>
      <c r="C27" s="10" t="s">
        <v>111</v>
      </c>
      <c r="D27" s="202">
        <v>-1241955.97</v>
      </c>
      <c r="E27" s="224">
        <v>-1759580.11</v>
      </c>
      <c r="F27" s="71"/>
    </row>
    <row r="28" spans="2:6">
      <c r="B28" s="9" t="s">
        <v>18</v>
      </c>
      <c r="C28" s="10" t="s">
        <v>19</v>
      </c>
      <c r="D28" s="202">
        <v>210634.05</v>
      </c>
      <c r="E28" s="225">
        <v>0</v>
      </c>
      <c r="F28" s="71"/>
    </row>
    <row r="29" spans="2:6">
      <c r="B29" s="104" t="s">
        <v>4</v>
      </c>
      <c r="C29" s="6" t="s">
        <v>20</v>
      </c>
      <c r="D29" s="203"/>
      <c r="E29" s="226"/>
      <c r="F29" s="71"/>
    </row>
    <row r="30" spans="2:6">
      <c r="B30" s="104" t="s">
        <v>6</v>
      </c>
      <c r="C30" s="6" t="s">
        <v>21</v>
      </c>
      <c r="D30" s="203"/>
      <c r="E30" s="226"/>
      <c r="F30" s="71"/>
    </row>
    <row r="31" spans="2:6">
      <c r="B31" s="104" t="s">
        <v>8</v>
      </c>
      <c r="C31" s="6" t="s">
        <v>22</v>
      </c>
      <c r="D31" s="203">
        <v>210634.05</v>
      </c>
      <c r="E31" s="226">
        <v>0</v>
      </c>
      <c r="F31" s="71"/>
    </row>
    <row r="32" spans="2:6">
      <c r="B32" s="92" t="s">
        <v>23</v>
      </c>
      <c r="C32" s="11" t="s">
        <v>24</v>
      </c>
      <c r="D32" s="202">
        <v>1452590.02</v>
      </c>
      <c r="E32" s="225">
        <v>1759580.11</v>
      </c>
      <c r="F32" s="71"/>
    </row>
    <row r="33" spans="2:6">
      <c r="B33" s="104" t="s">
        <v>4</v>
      </c>
      <c r="C33" s="6" t="s">
        <v>25</v>
      </c>
      <c r="D33" s="203">
        <v>1391684.48</v>
      </c>
      <c r="E33" s="226">
        <v>1632994.73</v>
      </c>
      <c r="F33" s="71"/>
    </row>
    <row r="34" spans="2:6">
      <c r="B34" s="104" t="s">
        <v>6</v>
      </c>
      <c r="C34" s="6" t="s">
        <v>26</v>
      </c>
      <c r="D34" s="203"/>
      <c r="E34" s="226"/>
      <c r="F34" s="71"/>
    </row>
    <row r="35" spans="2:6">
      <c r="B35" s="104" t="s">
        <v>8</v>
      </c>
      <c r="C35" s="6" t="s">
        <v>27</v>
      </c>
      <c r="D35" s="203">
        <v>21835.48</v>
      </c>
      <c r="E35" s="226">
        <v>19194.71</v>
      </c>
      <c r="F35" s="71"/>
    </row>
    <row r="36" spans="2:6">
      <c r="B36" s="104" t="s">
        <v>9</v>
      </c>
      <c r="C36" s="6" t="s">
        <v>28</v>
      </c>
      <c r="D36" s="203"/>
      <c r="E36" s="226"/>
      <c r="F36" s="71"/>
    </row>
    <row r="37" spans="2:6" ht="25.5">
      <c r="B37" s="104" t="s">
        <v>29</v>
      </c>
      <c r="C37" s="6" t="s">
        <v>30</v>
      </c>
      <c r="D37" s="203"/>
      <c r="E37" s="226"/>
      <c r="F37" s="71"/>
    </row>
    <row r="38" spans="2:6">
      <c r="B38" s="104" t="s">
        <v>31</v>
      </c>
      <c r="C38" s="6" t="s">
        <v>32</v>
      </c>
      <c r="D38" s="203"/>
      <c r="E38" s="226"/>
      <c r="F38" s="71"/>
    </row>
    <row r="39" spans="2:6">
      <c r="B39" s="105" t="s">
        <v>33</v>
      </c>
      <c r="C39" s="12" t="s">
        <v>34</v>
      </c>
      <c r="D39" s="204">
        <v>39070.06</v>
      </c>
      <c r="E39" s="227">
        <v>107390.67</v>
      </c>
      <c r="F39" s="71"/>
    </row>
    <row r="40" spans="2:6" ht="13.5" thickBot="1">
      <c r="B40" s="97" t="s">
        <v>35</v>
      </c>
      <c r="C40" s="98" t="s">
        <v>36</v>
      </c>
      <c r="D40" s="205">
        <v>-2208146.04</v>
      </c>
      <c r="E40" s="232">
        <v>1164305.3799999999</v>
      </c>
    </row>
    <row r="41" spans="2:6" ht="13.5" thickBot="1">
      <c r="B41" s="99" t="s">
        <v>37</v>
      </c>
      <c r="C41" s="100" t="s">
        <v>38</v>
      </c>
      <c r="D41" s="206">
        <v>12160604.039999999</v>
      </c>
      <c r="E41" s="148">
        <f>E26+E27+E40</f>
        <v>11565329.310000002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63"/>
      <c r="D43" s="363"/>
      <c r="E43" s="363"/>
    </row>
    <row r="44" spans="2:6" ht="18" customHeight="1" thickBot="1">
      <c r="B44" s="360" t="s">
        <v>121</v>
      </c>
      <c r="C44" s="364"/>
      <c r="D44" s="364"/>
      <c r="E44" s="364"/>
    </row>
    <row r="45" spans="2:6" ht="13.5" thickBot="1">
      <c r="B45" s="88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7">
        <v>1219204.2578</v>
      </c>
      <c r="E47" s="73">
        <v>1116231.7472999999</v>
      </c>
    </row>
    <row r="48" spans="2:6">
      <c r="B48" s="123" t="s">
        <v>6</v>
      </c>
      <c r="C48" s="22" t="s">
        <v>41</v>
      </c>
      <c r="D48" s="207">
        <v>1116231.7472999999</v>
      </c>
      <c r="E48" s="73">
        <v>962894.64320000005</v>
      </c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02" t="s">
        <v>4</v>
      </c>
      <c r="C50" s="15" t="s">
        <v>40</v>
      </c>
      <c r="D50" s="207">
        <v>12.804</v>
      </c>
      <c r="E50" s="73">
        <v>10.894299999999999</v>
      </c>
    </row>
    <row r="51" spans="2:5">
      <c r="B51" s="102" t="s">
        <v>6</v>
      </c>
      <c r="C51" s="15" t="s">
        <v>114</v>
      </c>
      <c r="D51" s="207">
        <v>10.846399999999999</v>
      </c>
      <c r="E51" s="75">
        <v>10.8071</v>
      </c>
    </row>
    <row r="52" spans="2:5" ht="12.75" customHeight="1">
      <c r="B52" s="102" t="s">
        <v>8</v>
      </c>
      <c r="C52" s="15" t="s">
        <v>115</v>
      </c>
      <c r="D52" s="207">
        <v>13.472099999999999</v>
      </c>
      <c r="E52" s="75">
        <v>12.010999999999999</v>
      </c>
    </row>
    <row r="53" spans="2:5" ht="13.5" thickBot="1">
      <c r="B53" s="103" t="s">
        <v>9</v>
      </c>
      <c r="C53" s="17" t="s">
        <v>41</v>
      </c>
      <c r="D53" s="209">
        <v>10.894299999999999</v>
      </c>
      <c r="E53" s="233">
        <v>12.010999999999999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8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11601744.469999999</v>
      </c>
      <c r="E58" s="31">
        <f>D58/E21</f>
        <v>1.0031486487780779</v>
      </c>
    </row>
    <row r="59" spans="2:5" ht="25.5">
      <c r="B59" s="187" t="s">
        <v>4</v>
      </c>
      <c r="C59" s="188" t="s">
        <v>44</v>
      </c>
      <c r="D59" s="80">
        <v>0</v>
      </c>
      <c r="E59" s="81">
        <v>0</v>
      </c>
    </row>
    <row r="60" spans="2:5" ht="24" customHeight="1">
      <c r="B60" s="185" t="s">
        <v>6</v>
      </c>
      <c r="C60" s="186" t="s">
        <v>45</v>
      </c>
      <c r="D60" s="78">
        <v>0</v>
      </c>
      <c r="E60" s="79">
        <v>0</v>
      </c>
    </row>
    <row r="61" spans="2:5">
      <c r="B61" s="185" t="s">
        <v>8</v>
      </c>
      <c r="C61" s="186" t="s">
        <v>46</v>
      </c>
      <c r="D61" s="78">
        <v>0</v>
      </c>
      <c r="E61" s="79">
        <v>0</v>
      </c>
    </row>
    <row r="62" spans="2:5">
      <c r="B62" s="185" t="s">
        <v>9</v>
      </c>
      <c r="C62" s="186" t="s">
        <v>47</v>
      </c>
      <c r="D62" s="78">
        <v>0</v>
      </c>
      <c r="E62" s="79">
        <v>0</v>
      </c>
    </row>
    <row r="63" spans="2:5">
      <c r="B63" s="185" t="s">
        <v>29</v>
      </c>
      <c r="C63" s="186" t="s">
        <v>48</v>
      </c>
      <c r="D63" s="78">
        <v>0</v>
      </c>
      <c r="E63" s="79">
        <v>0</v>
      </c>
    </row>
    <row r="64" spans="2:5">
      <c r="B64" s="187" t="s">
        <v>31</v>
      </c>
      <c r="C64" s="188" t="s">
        <v>49</v>
      </c>
      <c r="D64" s="80">
        <f>E12</f>
        <v>11601744.469999999</v>
      </c>
      <c r="E64" s="81">
        <f>D64/E21</f>
        <v>1.0031486487780779</v>
      </c>
    </row>
    <row r="65" spans="2:5">
      <c r="B65" s="187" t="s">
        <v>33</v>
      </c>
      <c r="C65" s="188" t="s">
        <v>118</v>
      </c>
      <c r="D65" s="80">
        <v>0</v>
      </c>
      <c r="E65" s="81">
        <v>0</v>
      </c>
    </row>
    <row r="66" spans="2:5">
      <c r="B66" s="187" t="s">
        <v>50</v>
      </c>
      <c r="C66" s="188" t="s">
        <v>51</v>
      </c>
      <c r="D66" s="80">
        <v>0</v>
      </c>
      <c r="E66" s="81">
        <v>0</v>
      </c>
    </row>
    <row r="67" spans="2:5">
      <c r="B67" s="185" t="s">
        <v>52</v>
      </c>
      <c r="C67" s="186" t="s">
        <v>53</v>
      </c>
      <c r="D67" s="78">
        <v>0</v>
      </c>
      <c r="E67" s="79">
        <v>0</v>
      </c>
    </row>
    <row r="68" spans="2:5">
      <c r="B68" s="185" t="s">
        <v>54</v>
      </c>
      <c r="C68" s="186" t="s">
        <v>55</v>
      </c>
      <c r="D68" s="78">
        <v>0</v>
      </c>
      <c r="E68" s="79">
        <v>0</v>
      </c>
    </row>
    <row r="69" spans="2:5">
      <c r="B69" s="185" t="s">
        <v>56</v>
      </c>
      <c r="C69" s="186" t="s">
        <v>57</v>
      </c>
      <c r="D69" s="274">
        <v>0</v>
      </c>
      <c r="E69" s="79">
        <v>0</v>
      </c>
    </row>
    <row r="70" spans="2:5">
      <c r="B70" s="238" t="s">
        <v>58</v>
      </c>
      <c r="C70" s="237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f>D72/E21</f>
        <v>0</v>
      </c>
    </row>
    <row r="73" spans="2:5">
      <c r="B73" s="132" t="s">
        <v>62</v>
      </c>
      <c r="C73" s="24" t="s">
        <v>65</v>
      </c>
      <c r="D73" s="25">
        <f>E17</f>
        <v>36415.160000000003</v>
      </c>
      <c r="E73" s="26">
        <f>D73/E21</f>
        <v>3.1486487780778985E-3</v>
      </c>
    </row>
    <row r="74" spans="2:5">
      <c r="B74" s="130" t="s">
        <v>64</v>
      </c>
      <c r="C74" s="121" t="s">
        <v>66</v>
      </c>
      <c r="D74" s="122">
        <f>D58-D73+D72</f>
        <v>11565329.309999999</v>
      </c>
      <c r="E74" s="66">
        <f>E58+E72-E73</f>
        <v>1</v>
      </c>
    </row>
    <row r="75" spans="2:5">
      <c r="B75" s="185" t="s">
        <v>4</v>
      </c>
      <c r="C75" s="186" t="s">
        <v>67</v>
      </c>
      <c r="D75" s="78">
        <f>D74</f>
        <v>11565329.309999999</v>
      </c>
      <c r="E75" s="79">
        <f>E74</f>
        <v>1</v>
      </c>
    </row>
    <row r="76" spans="2:5">
      <c r="B76" s="185" t="s">
        <v>6</v>
      </c>
      <c r="C76" s="186" t="s">
        <v>119</v>
      </c>
      <c r="D76" s="78">
        <v>0</v>
      </c>
      <c r="E76" s="79">
        <v>0</v>
      </c>
    </row>
    <row r="77" spans="2:5" ht="13.5" thickBot="1">
      <c r="B77" s="189" t="s">
        <v>8</v>
      </c>
      <c r="C77" s="190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6" right="0.75" top="0.62" bottom="0.47" header="0.5" footer="0.5"/>
  <pageSetup paperSize="9" scale="7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87"/>
      <c r="C4" s="87"/>
      <c r="D4" s="87"/>
      <c r="E4" s="87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73</v>
      </c>
      <c r="C6" s="359"/>
      <c r="D6" s="359"/>
      <c r="E6" s="359"/>
    </row>
    <row r="7" spans="2:7" ht="14.25">
      <c r="B7" s="89"/>
      <c r="C7" s="89"/>
      <c r="D7" s="89"/>
      <c r="E7" s="89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88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2165417.9699999997</v>
      </c>
      <c r="E11" s="244">
        <f>SUM(E12:E14)</f>
        <v>1951982.93</v>
      </c>
    </row>
    <row r="12" spans="2:7">
      <c r="B12" s="106" t="s">
        <v>4</v>
      </c>
      <c r="C12" s="6" t="s">
        <v>5</v>
      </c>
      <c r="D12" s="283">
        <v>2165417.9699999997</v>
      </c>
      <c r="E12" s="304">
        <f>1951589.72+2469.99-2076.78</f>
        <v>1951982.93</v>
      </c>
    </row>
    <row r="13" spans="2:7">
      <c r="B13" s="106" t="s">
        <v>6</v>
      </c>
      <c r="C13" s="68" t="s">
        <v>7</v>
      </c>
      <c r="D13" s="276"/>
      <c r="E13" s="305"/>
    </row>
    <row r="14" spans="2:7">
      <c r="B14" s="106" t="s">
        <v>8</v>
      </c>
      <c r="C14" s="68" t="s">
        <v>10</v>
      </c>
      <c r="D14" s="276"/>
      <c r="E14" s="305"/>
    </row>
    <row r="15" spans="2:7">
      <c r="B15" s="106" t="s">
        <v>106</v>
      </c>
      <c r="C15" s="68" t="s">
        <v>11</v>
      </c>
      <c r="D15" s="276"/>
      <c r="E15" s="305"/>
    </row>
    <row r="16" spans="2:7">
      <c r="B16" s="107" t="s">
        <v>107</v>
      </c>
      <c r="C16" s="91" t="s">
        <v>12</v>
      </c>
      <c r="D16" s="278"/>
      <c r="E16" s="306"/>
    </row>
    <row r="17" spans="2:6">
      <c r="B17" s="9" t="s">
        <v>13</v>
      </c>
      <c r="C17" s="11" t="s">
        <v>65</v>
      </c>
      <c r="D17" s="279">
        <v>4017.68</v>
      </c>
      <c r="E17" s="307">
        <f>E18</f>
        <v>3286.13</v>
      </c>
    </row>
    <row r="18" spans="2:6">
      <c r="B18" s="106" t="s">
        <v>4</v>
      </c>
      <c r="C18" s="6" t="s">
        <v>11</v>
      </c>
      <c r="D18" s="278">
        <v>4017.68</v>
      </c>
      <c r="E18" s="306">
        <v>3286.13</v>
      </c>
    </row>
    <row r="19" spans="2:6" ht="15" customHeight="1">
      <c r="B19" s="106" t="s">
        <v>6</v>
      </c>
      <c r="C19" s="68" t="s">
        <v>108</v>
      </c>
      <c r="D19" s="276"/>
      <c r="E19" s="305"/>
    </row>
    <row r="20" spans="2:6" ht="13.5" thickBot="1">
      <c r="B20" s="108" t="s">
        <v>8</v>
      </c>
      <c r="C20" s="69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2161400.2899999996</v>
      </c>
      <c r="E21" s="148">
        <f>E11-E17</f>
        <v>1948696.8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69"/>
      <c r="D23" s="369"/>
      <c r="E23" s="369"/>
    </row>
    <row r="24" spans="2:6" ht="15.75" customHeight="1" thickBot="1">
      <c r="B24" s="360" t="s">
        <v>105</v>
      </c>
      <c r="C24" s="370"/>
      <c r="D24" s="370"/>
      <c r="E24" s="370"/>
    </row>
    <row r="25" spans="2:6" ht="13.5" thickBot="1">
      <c r="B25" s="88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3380701.35</v>
      </c>
      <c r="E26" s="231">
        <f>D21</f>
        <v>2161400.2899999996</v>
      </c>
    </row>
    <row r="27" spans="2:6">
      <c r="B27" s="9" t="s">
        <v>17</v>
      </c>
      <c r="C27" s="10" t="s">
        <v>111</v>
      </c>
      <c r="D27" s="202">
        <v>-765722.03</v>
      </c>
      <c r="E27" s="224">
        <f>E28-E32</f>
        <v>-414324.63</v>
      </c>
      <c r="F27" s="71"/>
    </row>
    <row r="28" spans="2:6">
      <c r="B28" s="9" t="s">
        <v>18</v>
      </c>
      <c r="C28" s="10" t="s">
        <v>19</v>
      </c>
      <c r="D28" s="202">
        <v>0</v>
      </c>
      <c r="E28" s="225">
        <v>0</v>
      </c>
      <c r="F28" s="71"/>
    </row>
    <row r="29" spans="2:6">
      <c r="B29" s="104" t="s">
        <v>4</v>
      </c>
      <c r="C29" s="175" t="s">
        <v>20</v>
      </c>
      <c r="D29" s="203"/>
      <c r="E29" s="226"/>
      <c r="F29" s="71"/>
    </row>
    <row r="30" spans="2:6">
      <c r="B30" s="104" t="s">
        <v>6</v>
      </c>
      <c r="C30" s="175" t="s">
        <v>21</v>
      </c>
      <c r="D30" s="203"/>
      <c r="E30" s="226"/>
      <c r="F30" s="71"/>
    </row>
    <row r="31" spans="2:6">
      <c r="B31" s="104" t="s">
        <v>8</v>
      </c>
      <c r="C31" s="175" t="s">
        <v>22</v>
      </c>
      <c r="D31" s="203"/>
      <c r="E31" s="226"/>
      <c r="F31" s="71"/>
    </row>
    <row r="32" spans="2:6">
      <c r="B32" s="92" t="s">
        <v>23</v>
      </c>
      <c r="C32" s="11" t="s">
        <v>24</v>
      </c>
      <c r="D32" s="202">
        <v>765722.03</v>
      </c>
      <c r="E32" s="225">
        <f>SUM(E33:E39)</f>
        <v>414324.63</v>
      </c>
      <c r="F32" s="71"/>
    </row>
    <row r="33" spans="2:6">
      <c r="B33" s="104" t="s">
        <v>4</v>
      </c>
      <c r="C33" s="175" t="s">
        <v>25</v>
      </c>
      <c r="D33" s="203">
        <v>730495.35</v>
      </c>
      <c r="E33" s="226">
        <f>413376.89-26218.11</f>
        <v>387158.78</v>
      </c>
      <c r="F33" s="71"/>
    </row>
    <row r="34" spans="2:6">
      <c r="B34" s="104" t="s">
        <v>6</v>
      </c>
      <c r="C34" s="175" t="s">
        <v>26</v>
      </c>
      <c r="D34" s="203"/>
      <c r="E34" s="226"/>
      <c r="F34" s="71"/>
    </row>
    <row r="35" spans="2:6">
      <c r="B35" s="104" t="s">
        <v>8</v>
      </c>
      <c r="C35" s="175" t="s">
        <v>27</v>
      </c>
      <c r="D35" s="203">
        <v>28904.91</v>
      </c>
      <c r="E35" s="226">
        <v>26755.16</v>
      </c>
      <c r="F35" s="71"/>
    </row>
    <row r="36" spans="2:6">
      <c r="B36" s="104" t="s">
        <v>9</v>
      </c>
      <c r="C36" s="175" t="s">
        <v>28</v>
      </c>
      <c r="D36" s="203"/>
      <c r="E36" s="226"/>
      <c r="F36" s="71"/>
    </row>
    <row r="37" spans="2:6" ht="25.5">
      <c r="B37" s="104" t="s">
        <v>29</v>
      </c>
      <c r="C37" s="175" t="s">
        <v>30</v>
      </c>
      <c r="D37" s="203"/>
      <c r="E37" s="226"/>
      <c r="F37" s="71"/>
    </row>
    <row r="38" spans="2:6">
      <c r="B38" s="104" t="s">
        <v>31</v>
      </c>
      <c r="C38" s="175" t="s">
        <v>32</v>
      </c>
      <c r="D38" s="203"/>
      <c r="E38" s="226"/>
      <c r="F38" s="71"/>
    </row>
    <row r="39" spans="2:6">
      <c r="B39" s="105" t="s">
        <v>33</v>
      </c>
      <c r="C39" s="184" t="s">
        <v>34</v>
      </c>
      <c r="D39" s="204">
        <v>6321.77</v>
      </c>
      <c r="E39" s="227">
        <v>410.69</v>
      </c>
      <c r="F39" s="71"/>
    </row>
    <row r="40" spans="2:6" ht="13.5" thickBot="1">
      <c r="B40" s="97" t="s">
        <v>35</v>
      </c>
      <c r="C40" s="98" t="s">
        <v>36</v>
      </c>
      <c r="D40" s="205">
        <v>-453579.03</v>
      </c>
      <c r="E40" s="232">
        <v>201621.14</v>
      </c>
    </row>
    <row r="41" spans="2:6" ht="13.5" thickBot="1">
      <c r="B41" s="99" t="s">
        <v>37</v>
      </c>
      <c r="C41" s="100" t="s">
        <v>38</v>
      </c>
      <c r="D41" s="206">
        <v>2161400.29</v>
      </c>
      <c r="E41" s="148">
        <f>E26+E27+E40</f>
        <v>1948696.7999999998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63"/>
      <c r="D43" s="363"/>
      <c r="E43" s="363"/>
    </row>
    <row r="44" spans="2:6" ht="18" customHeight="1" thickBot="1">
      <c r="B44" s="360" t="s">
        <v>121</v>
      </c>
      <c r="C44" s="364"/>
      <c r="D44" s="364"/>
      <c r="E44" s="364"/>
    </row>
    <row r="45" spans="2:6" ht="13.5" thickBot="1">
      <c r="B45" s="88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86" t="s">
        <v>40</v>
      </c>
      <c r="D47" s="207">
        <v>448474.96818800003</v>
      </c>
      <c r="E47" s="73">
        <v>344905.10879999999</v>
      </c>
    </row>
    <row r="48" spans="2:6">
      <c r="B48" s="123" t="s">
        <v>6</v>
      </c>
      <c r="C48" s="188" t="s">
        <v>41</v>
      </c>
      <c r="D48" s="207">
        <v>344905.10879999999</v>
      </c>
      <c r="E48" s="73">
        <v>282730.88414400001</v>
      </c>
    </row>
    <row r="49" spans="2:5">
      <c r="B49" s="120" t="s">
        <v>23</v>
      </c>
      <c r="C49" s="124" t="s">
        <v>113</v>
      </c>
      <c r="D49" s="208"/>
      <c r="E49" s="73"/>
    </row>
    <row r="50" spans="2:5">
      <c r="B50" s="102" t="s">
        <v>4</v>
      </c>
      <c r="C50" s="186" t="s">
        <v>40</v>
      </c>
      <c r="D50" s="207">
        <v>7.5382160000000002</v>
      </c>
      <c r="E50" s="73">
        <v>6.2666519999999997</v>
      </c>
    </row>
    <row r="51" spans="2:5">
      <c r="B51" s="102" t="s">
        <v>6</v>
      </c>
      <c r="C51" s="186" t="s">
        <v>114</v>
      </c>
      <c r="D51" s="207">
        <v>6.2445050000000002</v>
      </c>
      <c r="E51" s="73">
        <v>6.2491539999999999</v>
      </c>
    </row>
    <row r="52" spans="2:5" ht="12.75" customHeight="1">
      <c r="B52" s="102" t="s">
        <v>8</v>
      </c>
      <c r="C52" s="186" t="s">
        <v>115</v>
      </c>
      <c r="D52" s="207">
        <v>7.9701760000000004</v>
      </c>
      <c r="E52" s="73">
        <v>6.9216569999999997</v>
      </c>
    </row>
    <row r="53" spans="2:5" ht="13.5" thickBot="1">
      <c r="B53" s="103" t="s">
        <v>9</v>
      </c>
      <c r="C53" s="190" t="s">
        <v>41</v>
      </c>
      <c r="D53" s="209">
        <v>6.2666519999999997</v>
      </c>
      <c r="E53" s="233">
        <v>6.8924089999999998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4.25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D64+D69</f>
        <v>1951982.93</v>
      </c>
      <c r="E58" s="31">
        <f>D58/E21</f>
        <v>1.0016863218536614</v>
      </c>
    </row>
    <row r="59" spans="2:5" ht="25.5">
      <c r="B59" s="187" t="s">
        <v>4</v>
      </c>
      <c r="C59" s="188" t="s">
        <v>44</v>
      </c>
      <c r="D59" s="80">
        <v>0</v>
      </c>
      <c r="E59" s="81">
        <v>0</v>
      </c>
    </row>
    <row r="60" spans="2:5" ht="24" customHeight="1">
      <c r="B60" s="185" t="s">
        <v>6</v>
      </c>
      <c r="C60" s="186" t="s">
        <v>45</v>
      </c>
      <c r="D60" s="78">
        <v>0</v>
      </c>
      <c r="E60" s="79">
        <v>0</v>
      </c>
    </row>
    <row r="61" spans="2:5">
      <c r="B61" s="185" t="s">
        <v>8</v>
      </c>
      <c r="C61" s="186" t="s">
        <v>46</v>
      </c>
      <c r="D61" s="78">
        <v>0</v>
      </c>
      <c r="E61" s="79">
        <v>0</v>
      </c>
    </row>
    <row r="62" spans="2:5">
      <c r="B62" s="185" t="s">
        <v>9</v>
      </c>
      <c r="C62" s="186" t="s">
        <v>47</v>
      </c>
      <c r="D62" s="78">
        <v>0</v>
      </c>
      <c r="E62" s="79">
        <v>0</v>
      </c>
    </row>
    <row r="63" spans="2:5">
      <c r="B63" s="185" t="s">
        <v>29</v>
      </c>
      <c r="C63" s="186" t="s">
        <v>48</v>
      </c>
      <c r="D63" s="78">
        <v>0</v>
      </c>
      <c r="E63" s="79">
        <v>0</v>
      </c>
    </row>
    <row r="64" spans="2:5">
      <c r="B64" s="187" t="s">
        <v>31</v>
      </c>
      <c r="C64" s="188" t="s">
        <v>49</v>
      </c>
      <c r="D64" s="80">
        <f>1951589.72-2076.78</f>
        <v>1949512.94</v>
      </c>
      <c r="E64" s="81">
        <f>D64/E21</f>
        <v>1.000418813229436</v>
      </c>
    </row>
    <row r="65" spans="2:5">
      <c r="B65" s="187" t="s">
        <v>33</v>
      </c>
      <c r="C65" s="188" t="s">
        <v>118</v>
      </c>
      <c r="D65" s="80">
        <v>0</v>
      </c>
      <c r="E65" s="81">
        <v>0</v>
      </c>
    </row>
    <row r="66" spans="2:5">
      <c r="B66" s="187" t="s">
        <v>50</v>
      </c>
      <c r="C66" s="188" t="s">
        <v>51</v>
      </c>
      <c r="D66" s="80">
        <v>0</v>
      </c>
      <c r="E66" s="81">
        <v>0</v>
      </c>
    </row>
    <row r="67" spans="2:5">
      <c r="B67" s="185" t="s">
        <v>52</v>
      </c>
      <c r="C67" s="186" t="s">
        <v>53</v>
      </c>
      <c r="D67" s="78">
        <v>0</v>
      </c>
      <c r="E67" s="79">
        <v>0</v>
      </c>
    </row>
    <row r="68" spans="2:5">
      <c r="B68" s="185" t="s">
        <v>54</v>
      </c>
      <c r="C68" s="186" t="s">
        <v>55</v>
      </c>
      <c r="D68" s="78">
        <v>0</v>
      </c>
      <c r="E68" s="79">
        <v>0</v>
      </c>
    </row>
    <row r="69" spans="2:5">
      <c r="B69" s="185" t="s">
        <v>56</v>
      </c>
      <c r="C69" s="186" t="s">
        <v>57</v>
      </c>
      <c r="D69" s="274">
        <v>2469.9899999999998</v>
      </c>
      <c r="E69" s="79">
        <f>D69/E21</f>
        <v>1.2675086242251742E-3</v>
      </c>
    </row>
    <row r="70" spans="2:5">
      <c r="B70" s="238" t="s">
        <v>58</v>
      </c>
      <c r="C70" s="237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f>D72/E21</f>
        <v>0</v>
      </c>
    </row>
    <row r="73" spans="2:5">
      <c r="B73" s="132" t="s">
        <v>62</v>
      </c>
      <c r="C73" s="24" t="s">
        <v>65</v>
      </c>
      <c r="D73" s="25">
        <f>E17</f>
        <v>3286.13</v>
      </c>
      <c r="E73" s="26">
        <f>D73/E21</f>
        <v>1.6863218536613803E-3</v>
      </c>
    </row>
    <row r="74" spans="2:5">
      <c r="B74" s="130" t="s">
        <v>64</v>
      </c>
      <c r="C74" s="121" t="s">
        <v>66</v>
      </c>
      <c r="D74" s="122">
        <f>D58+D72-D73</f>
        <v>1948696.8</v>
      </c>
      <c r="E74" s="66">
        <f>E58+E72-E73</f>
        <v>1</v>
      </c>
    </row>
    <row r="75" spans="2:5">
      <c r="B75" s="185" t="s">
        <v>4</v>
      </c>
      <c r="C75" s="186" t="s">
        <v>67</v>
      </c>
      <c r="D75" s="78">
        <f>D74</f>
        <v>1948696.8</v>
      </c>
      <c r="E75" s="79">
        <f>E74</f>
        <v>1</v>
      </c>
    </row>
    <row r="76" spans="2:5">
      <c r="B76" s="185" t="s">
        <v>6</v>
      </c>
      <c r="C76" s="186" t="s">
        <v>119</v>
      </c>
      <c r="D76" s="78">
        <v>0</v>
      </c>
      <c r="E76" s="79">
        <v>0</v>
      </c>
    </row>
    <row r="77" spans="2:5" ht="13.5" thickBot="1">
      <c r="B77" s="189" t="s">
        <v>8</v>
      </c>
      <c r="C77" s="190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48" right="0.75" top="0.56999999999999995" bottom="0.4" header="0.5" footer="0.5"/>
  <pageSetup paperSize="9" scale="7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"/>
  <dimension ref="A1:F81"/>
  <sheetViews>
    <sheetView zoomScale="80" zoomScaleNormal="80" workbookViewId="0">
      <selection activeCell="L42" sqref="L42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87"/>
      <c r="C4" s="87"/>
      <c r="D4" s="87"/>
      <c r="E4" s="87"/>
    </row>
    <row r="5" spans="2:5" ht="21" customHeight="1">
      <c r="B5" s="358" t="s">
        <v>1</v>
      </c>
      <c r="C5" s="358"/>
      <c r="D5" s="358"/>
      <c r="E5" s="358"/>
    </row>
    <row r="6" spans="2:5" ht="14.25">
      <c r="B6" s="359" t="s">
        <v>76</v>
      </c>
      <c r="C6" s="359"/>
      <c r="D6" s="359"/>
      <c r="E6" s="359"/>
    </row>
    <row r="7" spans="2:5" ht="14.25">
      <c r="B7" s="89"/>
      <c r="C7" s="89"/>
      <c r="D7" s="89"/>
      <c r="E7" s="89"/>
    </row>
    <row r="8" spans="2:5" ht="13.5">
      <c r="B8" s="361" t="s">
        <v>18</v>
      </c>
      <c r="C8" s="363"/>
      <c r="D8" s="363"/>
      <c r="E8" s="363"/>
    </row>
    <row r="9" spans="2:5" ht="16.5" thickBot="1">
      <c r="B9" s="360" t="s">
        <v>103</v>
      </c>
      <c r="C9" s="360"/>
      <c r="D9" s="360"/>
      <c r="E9" s="360"/>
    </row>
    <row r="10" spans="2:5" ht="13.5" thickBot="1">
      <c r="B10" s="88"/>
      <c r="C10" s="76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28" t="s">
        <v>109</v>
      </c>
      <c r="D11" s="243">
        <v>3537319.1199999996</v>
      </c>
      <c r="E11" s="244">
        <f>SUM(E12:E14)</f>
        <v>3027505.17</v>
      </c>
    </row>
    <row r="12" spans="2:5">
      <c r="B12" s="106" t="s">
        <v>4</v>
      </c>
      <c r="C12" s="6" t="s">
        <v>5</v>
      </c>
      <c r="D12" s="283">
        <v>3537319.1199999996</v>
      </c>
      <c r="E12" s="304">
        <f>3025363.94+5721.36-3580.13</f>
        <v>3027505.17</v>
      </c>
    </row>
    <row r="13" spans="2:5">
      <c r="B13" s="106" t="s">
        <v>6</v>
      </c>
      <c r="C13" s="68" t="s">
        <v>7</v>
      </c>
      <c r="D13" s="276"/>
      <c r="E13" s="305"/>
    </row>
    <row r="14" spans="2:5">
      <c r="B14" s="106" t="s">
        <v>8</v>
      </c>
      <c r="C14" s="68" t="s">
        <v>10</v>
      </c>
      <c r="D14" s="276"/>
      <c r="E14" s="305"/>
    </row>
    <row r="15" spans="2:5">
      <c r="B15" s="106" t="s">
        <v>106</v>
      </c>
      <c r="C15" s="68" t="s">
        <v>11</v>
      </c>
      <c r="D15" s="276"/>
      <c r="E15" s="305"/>
    </row>
    <row r="16" spans="2:5">
      <c r="B16" s="107" t="s">
        <v>107</v>
      </c>
      <c r="C16" s="91" t="s">
        <v>12</v>
      </c>
      <c r="D16" s="278"/>
      <c r="E16" s="306"/>
    </row>
    <row r="17" spans="2:6">
      <c r="B17" s="9" t="s">
        <v>13</v>
      </c>
      <c r="C17" s="11" t="s">
        <v>65</v>
      </c>
      <c r="D17" s="279">
        <v>10232.66</v>
      </c>
      <c r="E17" s="307">
        <f>E18</f>
        <v>5174.76</v>
      </c>
    </row>
    <row r="18" spans="2:6">
      <c r="B18" s="106" t="s">
        <v>4</v>
      </c>
      <c r="C18" s="6" t="s">
        <v>11</v>
      </c>
      <c r="D18" s="278">
        <v>10232.66</v>
      </c>
      <c r="E18" s="306">
        <v>5174.76</v>
      </c>
    </row>
    <row r="19" spans="2:6" ht="15" customHeight="1">
      <c r="B19" s="106" t="s">
        <v>6</v>
      </c>
      <c r="C19" s="68" t="s">
        <v>108</v>
      </c>
      <c r="D19" s="276"/>
      <c r="E19" s="305"/>
    </row>
    <row r="20" spans="2:6" ht="13.5" thickBot="1">
      <c r="B20" s="108" t="s">
        <v>8</v>
      </c>
      <c r="C20" s="69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3527086.4599999995</v>
      </c>
      <c r="E21" s="148">
        <f>E11-E17</f>
        <v>3022330.41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69"/>
      <c r="D23" s="369"/>
      <c r="E23" s="369"/>
    </row>
    <row r="24" spans="2:6" ht="15.75" customHeight="1" thickBot="1">
      <c r="B24" s="360" t="s">
        <v>105</v>
      </c>
      <c r="C24" s="370"/>
      <c r="D24" s="370"/>
      <c r="E24" s="370"/>
    </row>
    <row r="25" spans="2:6" ht="13.5" thickBot="1">
      <c r="B25" s="88"/>
      <c r="C25" s="5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4283636.46</v>
      </c>
      <c r="E26" s="231">
        <f>D21</f>
        <v>3527086.4599999995</v>
      </c>
    </row>
    <row r="27" spans="2:6">
      <c r="B27" s="9" t="s">
        <v>17</v>
      </c>
      <c r="C27" s="10" t="s">
        <v>111</v>
      </c>
      <c r="D27" s="202">
        <v>-531778.35000000009</v>
      </c>
      <c r="E27" s="224">
        <f>E28-E32</f>
        <v>-539303.59999999905</v>
      </c>
      <c r="F27" s="71"/>
    </row>
    <row r="28" spans="2:6">
      <c r="B28" s="9" t="s">
        <v>18</v>
      </c>
      <c r="C28" s="10" t="s">
        <v>19</v>
      </c>
      <c r="D28" s="202">
        <v>2021.47</v>
      </c>
      <c r="E28" s="225">
        <v>0</v>
      </c>
      <c r="F28" s="71"/>
    </row>
    <row r="29" spans="2:6">
      <c r="B29" s="104" t="s">
        <v>4</v>
      </c>
      <c r="C29" s="6" t="s">
        <v>20</v>
      </c>
      <c r="D29" s="203"/>
      <c r="E29" s="226"/>
      <c r="F29" s="71"/>
    </row>
    <row r="30" spans="2:6">
      <c r="B30" s="104" t="s">
        <v>6</v>
      </c>
      <c r="C30" s="6" t="s">
        <v>21</v>
      </c>
      <c r="D30" s="203"/>
      <c r="E30" s="226"/>
      <c r="F30" s="71"/>
    </row>
    <row r="31" spans="2:6">
      <c r="B31" s="104" t="s">
        <v>8</v>
      </c>
      <c r="C31" s="6" t="s">
        <v>22</v>
      </c>
      <c r="D31" s="203">
        <v>2021.47</v>
      </c>
      <c r="E31" s="226"/>
      <c r="F31" s="71"/>
    </row>
    <row r="32" spans="2:6">
      <c r="B32" s="92" t="s">
        <v>23</v>
      </c>
      <c r="C32" s="11" t="s">
        <v>24</v>
      </c>
      <c r="D32" s="202">
        <v>533799.82000000007</v>
      </c>
      <c r="E32" s="225">
        <f>SUM(E33:E39)</f>
        <v>539303.59999999905</v>
      </c>
      <c r="F32" s="71"/>
    </row>
    <row r="33" spans="2:6">
      <c r="B33" s="104" t="s">
        <v>4</v>
      </c>
      <c r="C33" s="6" t="s">
        <v>25</v>
      </c>
      <c r="D33" s="203">
        <v>505338.64</v>
      </c>
      <c r="E33" s="226">
        <f>481472.9+3580.13</f>
        <v>485053.03</v>
      </c>
      <c r="F33" s="71"/>
    </row>
    <row r="34" spans="2:6">
      <c r="B34" s="104" t="s">
        <v>6</v>
      </c>
      <c r="C34" s="6" t="s">
        <v>26</v>
      </c>
      <c r="D34" s="203"/>
      <c r="E34" s="226"/>
      <c r="F34" s="71"/>
    </row>
    <row r="35" spans="2:6">
      <c r="B35" s="104" t="s">
        <v>8</v>
      </c>
      <c r="C35" s="6" t="s">
        <v>27</v>
      </c>
      <c r="D35" s="203">
        <v>28461.18</v>
      </c>
      <c r="E35" s="226">
        <v>28395.96</v>
      </c>
      <c r="F35" s="71"/>
    </row>
    <row r="36" spans="2:6">
      <c r="B36" s="104" t="s">
        <v>9</v>
      </c>
      <c r="C36" s="6" t="s">
        <v>28</v>
      </c>
      <c r="D36" s="203"/>
      <c r="E36" s="226"/>
      <c r="F36" s="71"/>
    </row>
    <row r="37" spans="2:6" ht="25.5">
      <c r="B37" s="104" t="s">
        <v>29</v>
      </c>
      <c r="C37" s="6" t="s">
        <v>30</v>
      </c>
      <c r="D37" s="203"/>
      <c r="E37" s="226"/>
      <c r="F37" s="71"/>
    </row>
    <row r="38" spans="2:6">
      <c r="B38" s="104" t="s">
        <v>31</v>
      </c>
      <c r="C38" s="6" t="s">
        <v>32</v>
      </c>
      <c r="D38" s="203"/>
      <c r="E38" s="226"/>
      <c r="F38" s="71"/>
    </row>
    <row r="39" spans="2:6">
      <c r="B39" s="105" t="s">
        <v>33</v>
      </c>
      <c r="C39" s="12" t="s">
        <v>34</v>
      </c>
      <c r="D39" s="204"/>
      <c r="E39" s="227">
        <v>25854.609999998956</v>
      </c>
      <c r="F39" s="71"/>
    </row>
    <row r="40" spans="2:6" ht="13.5" thickBot="1">
      <c r="B40" s="97" t="s">
        <v>35</v>
      </c>
      <c r="C40" s="98" t="s">
        <v>36</v>
      </c>
      <c r="D40" s="205">
        <v>-224771.65</v>
      </c>
      <c r="E40" s="232">
        <v>34547.550000000003</v>
      </c>
    </row>
    <row r="41" spans="2:6" ht="13.5" thickBot="1">
      <c r="B41" s="99" t="s">
        <v>37</v>
      </c>
      <c r="C41" s="100" t="s">
        <v>38</v>
      </c>
      <c r="D41" s="206">
        <v>3527086.46</v>
      </c>
      <c r="E41" s="148">
        <f>E26+E27+E40</f>
        <v>3022330.41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63"/>
      <c r="D43" s="363"/>
      <c r="E43" s="363"/>
    </row>
    <row r="44" spans="2:6" ht="18" customHeight="1" thickBot="1">
      <c r="B44" s="360" t="s">
        <v>121</v>
      </c>
      <c r="C44" s="364"/>
      <c r="D44" s="364"/>
      <c r="E44" s="364"/>
    </row>
    <row r="45" spans="2:6" ht="13.5" thickBot="1">
      <c r="B45" s="88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7">
        <v>385900.97203200002</v>
      </c>
      <c r="E47" s="73">
        <v>337432.93696999998</v>
      </c>
    </row>
    <row r="48" spans="2:6">
      <c r="B48" s="123" t="s">
        <v>6</v>
      </c>
      <c r="C48" s="22" t="s">
        <v>41</v>
      </c>
      <c r="D48" s="207">
        <v>337432.93696999998</v>
      </c>
      <c r="E48" s="73">
        <v>286019.73003599996</v>
      </c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02" t="s">
        <v>4</v>
      </c>
      <c r="C50" s="15" t="s">
        <v>40</v>
      </c>
      <c r="D50" s="207">
        <v>11.100350000000001</v>
      </c>
      <c r="E50" s="73">
        <v>10.452704000000001</v>
      </c>
    </row>
    <row r="51" spans="2:5">
      <c r="B51" s="102" t="s">
        <v>6</v>
      </c>
      <c r="C51" s="15" t="s">
        <v>114</v>
      </c>
      <c r="D51" s="207">
        <v>10.44566</v>
      </c>
      <c r="E51" s="75">
        <v>10.279909999999999</v>
      </c>
    </row>
    <row r="52" spans="2:5" ht="12" customHeight="1">
      <c r="B52" s="102" t="s">
        <v>8</v>
      </c>
      <c r="C52" s="15" t="s">
        <v>115</v>
      </c>
      <c r="D52" s="207">
        <v>11.42994</v>
      </c>
      <c r="E52" s="75">
        <v>10.64601</v>
      </c>
    </row>
    <row r="53" spans="2:5" ht="13.5" thickBot="1">
      <c r="B53" s="103" t="s">
        <v>9</v>
      </c>
      <c r="C53" s="17" t="s">
        <v>41</v>
      </c>
      <c r="D53" s="209">
        <v>10.452704000000001</v>
      </c>
      <c r="E53" s="233">
        <v>10.56686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7.2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D64+D69</f>
        <v>3027505.17</v>
      </c>
      <c r="E58" s="31">
        <f>D58/E21</f>
        <v>1.0017121754732301</v>
      </c>
    </row>
    <row r="59" spans="2:5" ht="25.5">
      <c r="B59" s="187" t="s">
        <v>4</v>
      </c>
      <c r="C59" s="188" t="s">
        <v>44</v>
      </c>
      <c r="D59" s="80">
        <v>0</v>
      </c>
      <c r="E59" s="81">
        <v>0</v>
      </c>
    </row>
    <row r="60" spans="2:5" ht="24" customHeight="1">
      <c r="B60" s="185" t="s">
        <v>6</v>
      </c>
      <c r="C60" s="186" t="s">
        <v>45</v>
      </c>
      <c r="D60" s="78">
        <v>0</v>
      </c>
      <c r="E60" s="79">
        <v>0</v>
      </c>
    </row>
    <row r="61" spans="2:5">
      <c r="B61" s="185" t="s">
        <v>8</v>
      </c>
      <c r="C61" s="186" t="s">
        <v>46</v>
      </c>
      <c r="D61" s="78">
        <v>0</v>
      </c>
      <c r="E61" s="79">
        <v>0</v>
      </c>
    </row>
    <row r="62" spans="2:5">
      <c r="B62" s="185" t="s">
        <v>9</v>
      </c>
      <c r="C62" s="186" t="s">
        <v>47</v>
      </c>
      <c r="D62" s="78">
        <v>0</v>
      </c>
      <c r="E62" s="79">
        <v>0</v>
      </c>
    </row>
    <row r="63" spans="2:5">
      <c r="B63" s="185" t="s">
        <v>29</v>
      </c>
      <c r="C63" s="186" t="s">
        <v>48</v>
      </c>
      <c r="D63" s="78">
        <v>0</v>
      </c>
      <c r="E63" s="79">
        <v>0</v>
      </c>
    </row>
    <row r="64" spans="2:5">
      <c r="B64" s="187" t="s">
        <v>31</v>
      </c>
      <c r="C64" s="188" t="s">
        <v>49</v>
      </c>
      <c r="D64" s="80">
        <f>3025363.94-3580.13</f>
        <v>3021783.81</v>
      </c>
      <c r="E64" s="81">
        <f>D64/E21</f>
        <v>0.99981914617998369</v>
      </c>
    </row>
    <row r="65" spans="2:5">
      <c r="B65" s="187" t="s">
        <v>33</v>
      </c>
      <c r="C65" s="188" t="s">
        <v>118</v>
      </c>
      <c r="D65" s="80">
        <v>0</v>
      </c>
      <c r="E65" s="81">
        <v>0</v>
      </c>
    </row>
    <row r="66" spans="2:5">
      <c r="B66" s="187" t="s">
        <v>50</v>
      </c>
      <c r="C66" s="188" t="s">
        <v>51</v>
      </c>
      <c r="D66" s="80">
        <v>0</v>
      </c>
      <c r="E66" s="81">
        <v>0</v>
      </c>
    </row>
    <row r="67" spans="2:5">
      <c r="B67" s="185" t="s">
        <v>52</v>
      </c>
      <c r="C67" s="186" t="s">
        <v>53</v>
      </c>
      <c r="D67" s="78">
        <v>0</v>
      </c>
      <c r="E67" s="79">
        <v>0</v>
      </c>
    </row>
    <row r="68" spans="2:5">
      <c r="B68" s="185" t="s">
        <v>54</v>
      </c>
      <c r="C68" s="186" t="s">
        <v>55</v>
      </c>
      <c r="D68" s="78">
        <v>0</v>
      </c>
      <c r="E68" s="79">
        <v>0</v>
      </c>
    </row>
    <row r="69" spans="2:5">
      <c r="B69" s="185" t="s">
        <v>56</v>
      </c>
      <c r="C69" s="186" t="s">
        <v>57</v>
      </c>
      <c r="D69" s="274">
        <v>5721.36</v>
      </c>
      <c r="E69" s="79">
        <f>D69/E21</f>
        <v>1.8930292932465976E-3</v>
      </c>
    </row>
    <row r="70" spans="2:5">
      <c r="B70" s="238" t="s">
        <v>58</v>
      </c>
      <c r="C70" s="237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f>D72/E21</f>
        <v>0</v>
      </c>
    </row>
    <row r="73" spans="2:5">
      <c r="B73" s="132" t="s">
        <v>62</v>
      </c>
      <c r="C73" s="24" t="s">
        <v>65</v>
      </c>
      <c r="D73" s="25">
        <f>E17</f>
        <v>5174.76</v>
      </c>
      <c r="E73" s="26">
        <f>D73/E21</f>
        <v>1.7121754732302747E-3</v>
      </c>
    </row>
    <row r="74" spans="2:5">
      <c r="B74" s="130" t="s">
        <v>64</v>
      </c>
      <c r="C74" s="121" t="s">
        <v>66</v>
      </c>
      <c r="D74" s="122">
        <f>D58+D72-D73</f>
        <v>3022330.41</v>
      </c>
      <c r="E74" s="66">
        <f>E58+E72-E73</f>
        <v>0.99999999999999978</v>
      </c>
    </row>
    <row r="75" spans="2:5">
      <c r="B75" s="185" t="s">
        <v>4</v>
      </c>
      <c r="C75" s="186" t="s">
        <v>67</v>
      </c>
      <c r="D75" s="78">
        <f>D74</f>
        <v>3022330.41</v>
      </c>
      <c r="E75" s="79">
        <f>E74</f>
        <v>0.99999999999999978</v>
      </c>
    </row>
    <row r="76" spans="2:5">
      <c r="B76" s="185" t="s">
        <v>6</v>
      </c>
      <c r="C76" s="186" t="s">
        <v>119</v>
      </c>
      <c r="D76" s="78">
        <v>0</v>
      </c>
      <c r="E76" s="79">
        <v>0</v>
      </c>
    </row>
    <row r="77" spans="2:5" ht="13.5" thickBot="1">
      <c r="B77" s="189" t="s">
        <v>8</v>
      </c>
      <c r="C77" s="190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9055118110236227" right="0.74803149606299213" top="0.59055118110236227" bottom="0.55118110236220474" header="0.51181102362204722" footer="0.51181102362204722"/>
  <pageSetup paperSize="9" scale="70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"/>
  <dimension ref="A1:G81"/>
  <sheetViews>
    <sheetView zoomScale="80" zoomScaleNormal="80" workbookViewId="0">
      <selection activeCell="K10" sqref="K1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87"/>
      <c r="C4" s="87"/>
      <c r="D4" s="87"/>
      <c r="E4" s="87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75</v>
      </c>
      <c r="C6" s="359"/>
      <c r="D6" s="359"/>
      <c r="E6" s="359"/>
    </row>
    <row r="7" spans="2:7" ht="14.25">
      <c r="B7" s="89"/>
      <c r="C7" s="89"/>
      <c r="D7" s="89"/>
      <c r="E7" s="89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242"/>
      <c r="C10" s="215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4711286.1800000006</v>
      </c>
      <c r="E11" s="244">
        <f>SUM(E12:E14)</f>
        <v>4269988.3100000005</v>
      </c>
    </row>
    <row r="12" spans="2:7">
      <c r="B12" s="174" t="s">
        <v>4</v>
      </c>
      <c r="C12" s="175" t="s">
        <v>5</v>
      </c>
      <c r="D12" s="283">
        <v>4711286.1800000006</v>
      </c>
      <c r="E12" s="304">
        <f>4265591.74+7661.84-3265.27</f>
        <v>4269988.3100000005</v>
      </c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>
        <v>8245.369999999999</v>
      </c>
      <c r="E17" s="307">
        <f>E18</f>
        <v>7178.01</v>
      </c>
    </row>
    <row r="18" spans="2:6">
      <c r="B18" s="174" t="s">
        <v>4</v>
      </c>
      <c r="C18" s="175" t="s">
        <v>11</v>
      </c>
      <c r="D18" s="278">
        <v>8245.369999999999</v>
      </c>
      <c r="E18" s="306">
        <v>7178.01</v>
      </c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4703040.8100000005</v>
      </c>
      <c r="E21" s="148">
        <f>E11-E17</f>
        <v>4262810.3000000007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42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5409613.1999999993</v>
      </c>
      <c r="E26" s="231">
        <f>D21</f>
        <v>4703040.8100000005</v>
      </c>
    </row>
    <row r="27" spans="2:6">
      <c r="B27" s="9" t="s">
        <v>17</v>
      </c>
      <c r="C27" s="10" t="s">
        <v>111</v>
      </c>
      <c r="D27" s="202">
        <v>-457616.39999999997</v>
      </c>
      <c r="E27" s="224">
        <f>E28-E32</f>
        <v>-497888.35000000003</v>
      </c>
      <c r="F27" s="71"/>
    </row>
    <row r="28" spans="2:6">
      <c r="B28" s="9" t="s">
        <v>18</v>
      </c>
      <c r="C28" s="10" t="s">
        <v>19</v>
      </c>
      <c r="D28" s="202">
        <v>0</v>
      </c>
      <c r="E28" s="225">
        <v>194.17</v>
      </c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/>
      <c r="E31" s="226">
        <v>194.17</v>
      </c>
      <c r="F31" s="71"/>
    </row>
    <row r="32" spans="2:6">
      <c r="B32" s="92" t="s">
        <v>23</v>
      </c>
      <c r="C32" s="11" t="s">
        <v>24</v>
      </c>
      <c r="D32" s="202">
        <v>457616.39999999997</v>
      </c>
      <c r="E32" s="225">
        <f>SUM(E33:E39)</f>
        <v>498082.52</v>
      </c>
      <c r="F32" s="71"/>
    </row>
    <row r="33" spans="2:6">
      <c r="B33" s="182" t="s">
        <v>4</v>
      </c>
      <c r="C33" s="175" t="s">
        <v>25</v>
      </c>
      <c r="D33" s="203">
        <v>412964.93</v>
      </c>
      <c r="E33" s="226">
        <f>451546.21+3265.27</f>
        <v>454811.48000000004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40692.050000000003</v>
      </c>
      <c r="E35" s="226">
        <v>43271.040000000001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/>
      <c r="E37" s="226"/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>
        <v>3959.42</v>
      </c>
      <c r="E39" s="227"/>
      <c r="F39" s="71"/>
    </row>
    <row r="40" spans="2:6" ht="13.5" thickBot="1">
      <c r="B40" s="97" t="s">
        <v>35</v>
      </c>
      <c r="C40" s="98" t="s">
        <v>36</v>
      </c>
      <c r="D40" s="205">
        <v>-248955.99</v>
      </c>
      <c r="E40" s="232">
        <v>57657.84</v>
      </c>
    </row>
    <row r="41" spans="2:6" ht="13.5" thickBot="1">
      <c r="B41" s="99" t="s">
        <v>37</v>
      </c>
      <c r="C41" s="100" t="s">
        <v>38</v>
      </c>
      <c r="D41" s="206">
        <v>4703040.8099999987</v>
      </c>
      <c r="E41" s="148">
        <f>E26+E27+E40</f>
        <v>4262810.3000000007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42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531672.55431000004</v>
      </c>
      <c r="E47" s="73">
        <v>486028.44018899999</v>
      </c>
    </row>
    <row r="48" spans="2:6">
      <c r="B48" s="187" t="s">
        <v>6</v>
      </c>
      <c r="C48" s="188" t="s">
        <v>41</v>
      </c>
      <c r="D48" s="207">
        <v>486028.44018899999</v>
      </c>
      <c r="E48" s="73">
        <v>434875.47665999999</v>
      </c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85" t="s">
        <v>4</v>
      </c>
      <c r="C50" s="186" t="s">
        <v>40</v>
      </c>
      <c r="D50" s="207">
        <v>10.174707</v>
      </c>
      <c r="E50" s="73">
        <v>9.6764720000000004</v>
      </c>
    </row>
    <row r="51" spans="2:5">
      <c r="B51" s="185" t="s">
        <v>6</v>
      </c>
      <c r="C51" s="186" t="s">
        <v>114</v>
      </c>
      <c r="D51" s="207">
        <v>9.6657679999999999</v>
      </c>
      <c r="E51" s="73">
        <v>9.5541780000000003</v>
      </c>
    </row>
    <row r="52" spans="2:5" ht="12.75" customHeight="1">
      <c r="B52" s="185" t="s">
        <v>8</v>
      </c>
      <c r="C52" s="186" t="s">
        <v>115</v>
      </c>
      <c r="D52" s="207">
        <v>10.523960000000001</v>
      </c>
      <c r="E52" s="75">
        <v>9.8492879999999996</v>
      </c>
    </row>
    <row r="53" spans="2:5" ht="13.5" thickBot="1">
      <c r="B53" s="189" t="s">
        <v>9</v>
      </c>
      <c r="C53" s="190" t="s">
        <v>41</v>
      </c>
      <c r="D53" s="209">
        <v>9.6764720000000004</v>
      </c>
      <c r="E53" s="233">
        <v>9.8023699999999998</v>
      </c>
    </row>
    <row r="54" spans="2:5">
      <c r="B54" s="191"/>
      <c r="C54" s="192"/>
      <c r="D54" s="111"/>
      <c r="E54" s="111"/>
    </row>
    <row r="55" spans="2:5" ht="13.5">
      <c r="B55" s="362" t="s">
        <v>62</v>
      </c>
      <c r="C55" s="374"/>
      <c r="D55" s="374"/>
      <c r="E55" s="374"/>
    </row>
    <row r="56" spans="2:5" ht="16.5" customHeight="1" thickBot="1">
      <c r="B56" s="360" t="s">
        <v>116</v>
      </c>
      <c r="C56" s="373"/>
      <c r="D56" s="373"/>
      <c r="E56" s="373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D64+D69</f>
        <v>4269988.3100000005</v>
      </c>
      <c r="E58" s="31">
        <f>D58/E21</f>
        <v>1.0016838680341933</v>
      </c>
    </row>
    <row r="59" spans="2:5" ht="25.5">
      <c r="B59" s="187" t="s">
        <v>4</v>
      </c>
      <c r="C59" s="188" t="s">
        <v>44</v>
      </c>
      <c r="D59" s="80">
        <v>0</v>
      </c>
      <c r="E59" s="81">
        <v>0</v>
      </c>
    </row>
    <row r="60" spans="2:5" ht="24" customHeight="1">
      <c r="B60" s="185" t="s">
        <v>6</v>
      </c>
      <c r="C60" s="186" t="s">
        <v>45</v>
      </c>
      <c r="D60" s="78">
        <v>0</v>
      </c>
      <c r="E60" s="79">
        <v>0</v>
      </c>
    </row>
    <row r="61" spans="2:5">
      <c r="B61" s="185" t="s">
        <v>8</v>
      </c>
      <c r="C61" s="186" t="s">
        <v>46</v>
      </c>
      <c r="D61" s="78">
        <v>0</v>
      </c>
      <c r="E61" s="79">
        <v>0</v>
      </c>
    </row>
    <row r="62" spans="2:5">
      <c r="B62" s="185" t="s">
        <v>9</v>
      </c>
      <c r="C62" s="186" t="s">
        <v>47</v>
      </c>
      <c r="D62" s="78">
        <v>0</v>
      </c>
      <c r="E62" s="79">
        <v>0</v>
      </c>
    </row>
    <row r="63" spans="2:5">
      <c r="B63" s="185" t="s">
        <v>29</v>
      </c>
      <c r="C63" s="186" t="s">
        <v>48</v>
      </c>
      <c r="D63" s="78">
        <v>0</v>
      </c>
      <c r="E63" s="79">
        <v>0</v>
      </c>
    </row>
    <row r="64" spans="2:5">
      <c r="B64" s="187" t="s">
        <v>31</v>
      </c>
      <c r="C64" s="188" t="s">
        <v>49</v>
      </c>
      <c r="D64" s="80">
        <f>4265591.74-3265.27</f>
        <v>4262326.4700000007</v>
      </c>
      <c r="E64" s="81">
        <f>D64/E21</f>
        <v>0.99988649975815247</v>
      </c>
    </row>
    <row r="65" spans="2:5">
      <c r="B65" s="187" t="s">
        <v>33</v>
      </c>
      <c r="C65" s="188" t="s">
        <v>118</v>
      </c>
      <c r="D65" s="80">
        <v>0</v>
      </c>
      <c r="E65" s="81">
        <v>0</v>
      </c>
    </row>
    <row r="66" spans="2:5">
      <c r="B66" s="187" t="s">
        <v>50</v>
      </c>
      <c r="C66" s="188" t="s">
        <v>51</v>
      </c>
      <c r="D66" s="80">
        <v>0</v>
      </c>
      <c r="E66" s="81">
        <v>0</v>
      </c>
    </row>
    <row r="67" spans="2:5">
      <c r="B67" s="185" t="s">
        <v>52</v>
      </c>
      <c r="C67" s="186" t="s">
        <v>53</v>
      </c>
      <c r="D67" s="78">
        <v>0</v>
      </c>
      <c r="E67" s="79">
        <v>0</v>
      </c>
    </row>
    <row r="68" spans="2:5">
      <c r="B68" s="185" t="s">
        <v>54</v>
      </c>
      <c r="C68" s="186" t="s">
        <v>55</v>
      </c>
      <c r="D68" s="78">
        <v>0</v>
      </c>
      <c r="E68" s="79">
        <v>0</v>
      </c>
    </row>
    <row r="69" spans="2:5">
      <c r="B69" s="185" t="s">
        <v>56</v>
      </c>
      <c r="C69" s="186" t="s">
        <v>57</v>
      </c>
      <c r="D69" s="274">
        <v>7661.84</v>
      </c>
      <c r="E69" s="79">
        <f>D69/E21</f>
        <v>1.7973682760408078E-3</v>
      </c>
    </row>
    <row r="70" spans="2:5">
      <c r="B70" s="238" t="s">
        <v>58</v>
      </c>
      <c r="C70" s="237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f>D72/E21</f>
        <v>0</v>
      </c>
    </row>
    <row r="73" spans="2:5">
      <c r="B73" s="132" t="s">
        <v>62</v>
      </c>
      <c r="C73" s="24" t="s">
        <v>65</v>
      </c>
      <c r="D73" s="25">
        <f>E17</f>
        <v>7178.01</v>
      </c>
      <c r="E73" s="26">
        <f>D73/E21</f>
        <v>1.6838680341933112E-3</v>
      </c>
    </row>
    <row r="74" spans="2:5">
      <c r="B74" s="130" t="s">
        <v>64</v>
      </c>
      <c r="C74" s="121" t="s">
        <v>66</v>
      </c>
      <c r="D74" s="122">
        <f>D58+D72-D73</f>
        <v>4262810.3000000007</v>
      </c>
      <c r="E74" s="66">
        <f>E58+E72-E73</f>
        <v>1</v>
      </c>
    </row>
    <row r="75" spans="2:5">
      <c r="B75" s="185" t="s">
        <v>4</v>
      </c>
      <c r="C75" s="186" t="s">
        <v>67</v>
      </c>
      <c r="D75" s="78">
        <f>D74</f>
        <v>4262810.3000000007</v>
      </c>
      <c r="E75" s="79">
        <f>E74</f>
        <v>1</v>
      </c>
    </row>
    <row r="76" spans="2:5">
      <c r="B76" s="185" t="s">
        <v>6</v>
      </c>
      <c r="C76" s="186" t="s">
        <v>119</v>
      </c>
      <c r="D76" s="78">
        <v>0</v>
      </c>
      <c r="E76" s="79">
        <v>0</v>
      </c>
    </row>
    <row r="77" spans="2:5" ht="13.5" thickBot="1">
      <c r="B77" s="189" t="s">
        <v>8</v>
      </c>
      <c r="C77" s="190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5118110236220474" right="0.74803149606299213" top="0.51181102362204722" bottom="0.47244094488188981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F81"/>
  <sheetViews>
    <sheetView zoomScale="80" zoomScaleNormal="80" workbookViewId="0">
      <selection activeCell="K32" sqref="K32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85"/>
      <c r="C4" s="85"/>
      <c r="D4" s="85"/>
      <c r="E4" s="85"/>
    </row>
    <row r="5" spans="2:5" ht="21" customHeight="1">
      <c r="B5" s="358" t="s">
        <v>1</v>
      </c>
      <c r="C5" s="358"/>
      <c r="D5" s="358"/>
      <c r="E5" s="358"/>
    </row>
    <row r="6" spans="2:5" ht="14.25">
      <c r="B6" s="359" t="s">
        <v>86</v>
      </c>
      <c r="C6" s="359"/>
      <c r="D6" s="359"/>
      <c r="E6" s="359"/>
    </row>
    <row r="7" spans="2:5" ht="14.25">
      <c r="B7" s="89"/>
      <c r="C7" s="89"/>
      <c r="D7" s="89"/>
      <c r="E7" s="89"/>
    </row>
    <row r="8" spans="2:5" ht="13.5">
      <c r="B8" s="361" t="s">
        <v>18</v>
      </c>
      <c r="C8" s="363"/>
      <c r="D8" s="363"/>
      <c r="E8" s="363"/>
    </row>
    <row r="9" spans="2:5" ht="16.5" thickBot="1">
      <c r="B9" s="360" t="s">
        <v>103</v>
      </c>
      <c r="C9" s="360"/>
      <c r="D9" s="360"/>
      <c r="E9" s="360"/>
    </row>
    <row r="10" spans="2:5" ht="13.5" thickBot="1">
      <c r="B10" s="86"/>
      <c r="C10" s="76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94" t="s">
        <v>109</v>
      </c>
      <c r="D11" s="243">
        <v>217054880.88000003</v>
      </c>
      <c r="E11" s="244">
        <f>SUM(E12:E14)</f>
        <v>211742829.34</v>
      </c>
    </row>
    <row r="12" spans="2:5">
      <c r="B12" s="106" t="s">
        <v>4</v>
      </c>
      <c r="C12" s="68" t="s">
        <v>5</v>
      </c>
      <c r="D12" s="283">
        <v>216250237.36000001</v>
      </c>
      <c r="E12" s="304">
        <f>216242251.62+71869.72-5236017.74</f>
        <v>211078103.59999999</v>
      </c>
    </row>
    <row r="13" spans="2:5">
      <c r="B13" s="106" t="s">
        <v>6</v>
      </c>
      <c r="C13" s="68" t="s">
        <v>7</v>
      </c>
      <c r="D13" s="276"/>
      <c r="E13" s="305"/>
    </row>
    <row r="14" spans="2:5">
      <c r="B14" s="106" t="s">
        <v>8</v>
      </c>
      <c r="C14" s="68" t="s">
        <v>10</v>
      </c>
      <c r="D14" s="276">
        <v>804643.52</v>
      </c>
      <c r="E14" s="305">
        <f>E15</f>
        <v>664725.74</v>
      </c>
    </row>
    <row r="15" spans="2:5">
      <c r="B15" s="106" t="s">
        <v>106</v>
      </c>
      <c r="C15" s="68" t="s">
        <v>11</v>
      </c>
      <c r="D15" s="276">
        <v>804643.52</v>
      </c>
      <c r="E15" s="305">
        <v>664725.74</v>
      </c>
    </row>
    <row r="16" spans="2:5">
      <c r="B16" s="107" t="s">
        <v>107</v>
      </c>
      <c r="C16" s="91" t="s">
        <v>12</v>
      </c>
      <c r="D16" s="278"/>
      <c r="E16" s="306"/>
    </row>
    <row r="17" spans="2:6">
      <c r="B17" s="9" t="s">
        <v>13</v>
      </c>
      <c r="C17" s="216" t="s">
        <v>65</v>
      </c>
      <c r="D17" s="279">
        <v>495508.66</v>
      </c>
      <c r="E17" s="307">
        <f>E18</f>
        <v>968777.93</v>
      </c>
    </row>
    <row r="18" spans="2:6">
      <c r="B18" s="106" t="s">
        <v>4</v>
      </c>
      <c r="C18" s="68" t="s">
        <v>11</v>
      </c>
      <c r="D18" s="278">
        <v>495508.66</v>
      </c>
      <c r="E18" s="306">
        <v>968777.93</v>
      </c>
    </row>
    <row r="19" spans="2:6" ht="15" customHeight="1">
      <c r="B19" s="106" t="s">
        <v>6</v>
      </c>
      <c r="C19" s="68" t="s">
        <v>108</v>
      </c>
      <c r="D19" s="276"/>
      <c r="E19" s="305"/>
    </row>
    <row r="20" spans="2:6" ht="13.5" customHeight="1" thickBot="1">
      <c r="B20" s="108" t="s">
        <v>8</v>
      </c>
      <c r="C20" s="69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216559372.22000003</v>
      </c>
      <c r="E21" s="148">
        <f>E11-E17</f>
        <v>210774051.41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69"/>
      <c r="D23" s="369"/>
      <c r="E23" s="369"/>
    </row>
    <row r="24" spans="2:6" ht="16.5" customHeight="1" thickBot="1">
      <c r="B24" s="360" t="s">
        <v>105</v>
      </c>
      <c r="C24" s="370"/>
      <c r="D24" s="370"/>
      <c r="E24" s="370"/>
    </row>
    <row r="25" spans="2:6" ht="13.5" thickBot="1">
      <c r="B25" s="86"/>
      <c r="C25" s="5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245152416.87</v>
      </c>
      <c r="E26" s="231">
        <f>D21</f>
        <v>216559372.22000003</v>
      </c>
    </row>
    <row r="27" spans="2:6">
      <c r="B27" s="9" t="s">
        <v>17</v>
      </c>
      <c r="C27" s="10" t="s">
        <v>111</v>
      </c>
      <c r="D27" s="202">
        <v>-5380418.0200000033</v>
      </c>
      <c r="E27" s="224">
        <f>E28-E32</f>
        <v>-7376991.0200000554</v>
      </c>
      <c r="F27" s="71"/>
    </row>
    <row r="28" spans="2:6">
      <c r="B28" s="9" t="s">
        <v>18</v>
      </c>
      <c r="C28" s="10" t="s">
        <v>19</v>
      </c>
      <c r="D28" s="202">
        <v>29097058.210000001</v>
      </c>
      <c r="E28" s="225">
        <v>26474459.93</v>
      </c>
      <c r="F28" s="71"/>
    </row>
    <row r="29" spans="2:6">
      <c r="B29" s="104" t="s">
        <v>4</v>
      </c>
      <c r="C29" s="6" t="s">
        <v>20</v>
      </c>
      <c r="D29" s="203">
        <v>28097739.48</v>
      </c>
      <c r="E29" s="226">
        <v>25792616.879999999</v>
      </c>
      <c r="F29" s="71"/>
    </row>
    <row r="30" spans="2:6">
      <c r="B30" s="104" t="s">
        <v>6</v>
      </c>
      <c r="C30" s="6" t="s">
        <v>21</v>
      </c>
      <c r="D30" s="203"/>
      <c r="E30" s="226"/>
      <c r="F30" s="71"/>
    </row>
    <row r="31" spans="2:6">
      <c r="B31" s="104" t="s">
        <v>8</v>
      </c>
      <c r="C31" s="6" t="s">
        <v>22</v>
      </c>
      <c r="D31" s="203">
        <v>999318.73</v>
      </c>
      <c r="E31" s="226">
        <v>681843.05</v>
      </c>
      <c r="F31" s="71"/>
    </row>
    <row r="32" spans="2:6">
      <c r="B32" s="92" t="s">
        <v>23</v>
      </c>
      <c r="C32" s="11" t="s">
        <v>24</v>
      </c>
      <c r="D32" s="202">
        <v>34477476.230000004</v>
      </c>
      <c r="E32" s="225">
        <f>SUM(E33:E39)</f>
        <v>33851450.950000055</v>
      </c>
      <c r="F32" s="71"/>
    </row>
    <row r="33" spans="2:6">
      <c r="B33" s="104" t="s">
        <v>4</v>
      </c>
      <c r="C33" s="6" t="s">
        <v>25</v>
      </c>
      <c r="D33" s="203">
        <v>26296460.07</v>
      </c>
      <c r="E33" s="226">
        <f>24411472.5-516879.43</f>
        <v>23894593.07</v>
      </c>
      <c r="F33" s="71"/>
    </row>
    <row r="34" spans="2:6">
      <c r="B34" s="104" t="s">
        <v>6</v>
      </c>
      <c r="C34" s="6" t="s">
        <v>26</v>
      </c>
      <c r="D34" s="203"/>
      <c r="E34" s="226"/>
      <c r="F34" s="71"/>
    </row>
    <row r="35" spans="2:6">
      <c r="B35" s="104" t="s">
        <v>8</v>
      </c>
      <c r="C35" s="6" t="s">
        <v>27</v>
      </c>
      <c r="D35" s="203">
        <v>6042708</v>
      </c>
      <c r="E35" s="226">
        <v>5774926.9899999993</v>
      </c>
      <c r="F35" s="71"/>
    </row>
    <row r="36" spans="2:6">
      <c r="B36" s="104" t="s">
        <v>9</v>
      </c>
      <c r="C36" s="6" t="s">
        <v>28</v>
      </c>
      <c r="D36" s="203"/>
      <c r="E36" s="226"/>
      <c r="F36" s="71"/>
    </row>
    <row r="37" spans="2:6" ht="25.5">
      <c r="B37" s="104" t="s">
        <v>29</v>
      </c>
      <c r="C37" s="6" t="s">
        <v>30</v>
      </c>
      <c r="D37" s="203"/>
      <c r="E37" s="226"/>
      <c r="F37" s="71"/>
    </row>
    <row r="38" spans="2:6">
      <c r="B38" s="104" t="s">
        <v>31</v>
      </c>
      <c r="C38" s="6" t="s">
        <v>32</v>
      </c>
      <c r="D38" s="203"/>
      <c r="E38" s="226"/>
      <c r="F38" s="71"/>
    </row>
    <row r="39" spans="2:6">
      <c r="B39" s="105" t="s">
        <v>33</v>
      </c>
      <c r="C39" s="12" t="s">
        <v>34</v>
      </c>
      <c r="D39" s="204">
        <v>2138308.16</v>
      </c>
      <c r="E39" s="227">
        <v>4181930.8900000597</v>
      </c>
      <c r="F39" s="71"/>
    </row>
    <row r="40" spans="2:6" ht="13.5" thickBot="1">
      <c r="B40" s="97" t="s">
        <v>35</v>
      </c>
      <c r="C40" s="98" t="s">
        <v>36</v>
      </c>
      <c r="D40" s="205">
        <v>-23212626.629999999</v>
      </c>
      <c r="E40" s="232">
        <v>1591670.21</v>
      </c>
    </row>
    <row r="41" spans="2:6" ht="13.5" thickBot="1">
      <c r="B41" s="99" t="s">
        <v>37</v>
      </c>
      <c r="C41" s="100" t="s">
        <v>38</v>
      </c>
      <c r="D41" s="206">
        <v>216559372.22</v>
      </c>
      <c r="E41" s="148">
        <f>E26+E27+E40</f>
        <v>210774051.41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63"/>
      <c r="D43" s="363"/>
      <c r="E43" s="363"/>
    </row>
    <row r="44" spans="2:6" ht="15.75" customHeight="1" thickBot="1">
      <c r="B44" s="360" t="s">
        <v>121</v>
      </c>
      <c r="C44" s="364"/>
      <c r="D44" s="364"/>
      <c r="E44" s="364"/>
    </row>
    <row r="45" spans="2:6" ht="13.5" thickBot="1">
      <c r="B45" s="86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7">
        <v>12195842.338</v>
      </c>
      <c r="E47" s="73">
        <v>11883548.877800001</v>
      </c>
    </row>
    <row r="48" spans="2:6">
      <c r="B48" s="123" t="s">
        <v>6</v>
      </c>
      <c r="C48" s="22" t="s">
        <v>41</v>
      </c>
      <c r="D48" s="207">
        <v>11883548.877800001</v>
      </c>
      <c r="E48" s="265">
        <v>11489564.341</v>
      </c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02" t="s">
        <v>4</v>
      </c>
      <c r="C50" s="15" t="s">
        <v>40</v>
      </c>
      <c r="D50" s="207">
        <v>20.101310764341601</v>
      </c>
      <c r="E50" s="266">
        <v>18.223459544591801</v>
      </c>
    </row>
    <row r="51" spans="2:5">
      <c r="B51" s="102" t="s">
        <v>6</v>
      </c>
      <c r="C51" s="15" t="s">
        <v>114</v>
      </c>
      <c r="D51" s="207">
        <v>17.415500000000002</v>
      </c>
      <c r="E51" s="267">
        <v>17.4621</v>
      </c>
    </row>
    <row r="52" spans="2:5">
      <c r="B52" s="102" t="s">
        <v>8</v>
      </c>
      <c r="C52" s="15" t="s">
        <v>115</v>
      </c>
      <c r="D52" s="207">
        <v>21.191099999999999</v>
      </c>
      <c r="E52" s="267">
        <v>19.8736</v>
      </c>
    </row>
    <row r="53" spans="2:5" ht="12.75" customHeight="1" thickBot="1">
      <c r="B53" s="103" t="s">
        <v>9</v>
      </c>
      <c r="C53" s="17" t="s">
        <v>41</v>
      </c>
      <c r="D53" s="209">
        <v>18.223459544591801</v>
      </c>
      <c r="E53" s="233">
        <v>18.344799999999999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6.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D64+D69</f>
        <v>211078103.59999999</v>
      </c>
      <c r="E58" s="31">
        <f>D58/E21</f>
        <v>1.0014425503896993</v>
      </c>
    </row>
    <row r="59" spans="2:5" ht="25.5">
      <c r="B59" s="21" t="s">
        <v>4</v>
      </c>
      <c r="C59" s="22" t="s">
        <v>44</v>
      </c>
      <c r="D59" s="80">
        <v>0</v>
      </c>
      <c r="E59" s="81">
        <v>0</v>
      </c>
    </row>
    <row r="60" spans="2:5" ht="25.5">
      <c r="B60" s="14" t="s">
        <v>6</v>
      </c>
      <c r="C60" s="15" t="s">
        <v>45</v>
      </c>
      <c r="D60" s="78">
        <v>0</v>
      </c>
      <c r="E60" s="79">
        <v>0</v>
      </c>
    </row>
    <row r="61" spans="2:5" ht="13.5" customHeight="1">
      <c r="B61" s="14" t="s">
        <v>8</v>
      </c>
      <c r="C61" s="15" t="s">
        <v>46</v>
      </c>
      <c r="D61" s="78">
        <v>0</v>
      </c>
      <c r="E61" s="79">
        <v>0</v>
      </c>
    </row>
    <row r="62" spans="2:5">
      <c r="B62" s="14" t="s">
        <v>9</v>
      </c>
      <c r="C62" s="15" t="s">
        <v>47</v>
      </c>
      <c r="D62" s="78">
        <v>0</v>
      </c>
      <c r="E62" s="79">
        <v>0</v>
      </c>
    </row>
    <row r="63" spans="2:5">
      <c r="B63" s="14" t="s">
        <v>29</v>
      </c>
      <c r="C63" s="15" t="s">
        <v>48</v>
      </c>
      <c r="D63" s="78">
        <v>0</v>
      </c>
      <c r="E63" s="79">
        <v>0</v>
      </c>
    </row>
    <row r="64" spans="2:5">
      <c r="B64" s="21" t="s">
        <v>31</v>
      </c>
      <c r="C64" s="22" t="s">
        <v>49</v>
      </c>
      <c r="D64" s="80">
        <f>216242251.62-5236017.74</f>
        <v>211006233.88</v>
      </c>
      <c r="E64" s="81">
        <f>D64/E21</f>
        <v>1.0011015704658461</v>
      </c>
    </row>
    <row r="65" spans="2:5">
      <c r="B65" s="21" t="s">
        <v>33</v>
      </c>
      <c r="C65" s="22" t="s">
        <v>118</v>
      </c>
      <c r="D65" s="80">
        <v>0</v>
      </c>
      <c r="E65" s="81">
        <v>0</v>
      </c>
    </row>
    <row r="66" spans="2:5">
      <c r="B66" s="21" t="s">
        <v>50</v>
      </c>
      <c r="C66" s="22" t="s">
        <v>51</v>
      </c>
      <c r="D66" s="80">
        <v>0</v>
      </c>
      <c r="E66" s="81">
        <v>0</v>
      </c>
    </row>
    <row r="67" spans="2:5">
      <c r="B67" s="14" t="s">
        <v>52</v>
      </c>
      <c r="C67" s="15" t="s">
        <v>53</v>
      </c>
      <c r="D67" s="78">
        <v>0</v>
      </c>
      <c r="E67" s="79">
        <v>0</v>
      </c>
    </row>
    <row r="68" spans="2:5">
      <c r="B68" s="14" t="s">
        <v>54</v>
      </c>
      <c r="C68" s="15" t="s">
        <v>55</v>
      </c>
      <c r="D68" s="78">
        <v>0</v>
      </c>
      <c r="E68" s="79">
        <v>0</v>
      </c>
    </row>
    <row r="69" spans="2:5">
      <c r="B69" s="14" t="s">
        <v>56</v>
      </c>
      <c r="C69" s="15" t="s">
        <v>57</v>
      </c>
      <c r="D69" s="274">
        <v>71869.72</v>
      </c>
      <c r="E69" s="79">
        <f>D69/E21</f>
        <v>3.4097992385314182E-4</v>
      </c>
    </row>
    <row r="70" spans="2:5">
      <c r="B70" s="112" t="s">
        <v>58</v>
      </c>
      <c r="C70" s="113" t="s">
        <v>59</v>
      </c>
      <c r="D70" s="114">
        <v>0</v>
      </c>
      <c r="E70" s="115">
        <v>0</v>
      </c>
    </row>
    <row r="71" spans="2:5">
      <c r="B71" s="120" t="s">
        <v>23</v>
      </c>
      <c r="C71" s="121" t="s">
        <v>61</v>
      </c>
      <c r="D71" s="122">
        <f>E13</f>
        <v>0</v>
      </c>
      <c r="E71" s="66">
        <v>0</v>
      </c>
    </row>
    <row r="72" spans="2:5">
      <c r="B72" s="116" t="s">
        <v>60</v>
      </c>
      <c r="C72" s="117" t="s">
        <v>63</v>
      </c>
      <c r="D72" s="118">
        <f>E14</f>
        <v>664725.74</v>
      </c>
      <c r="E72" s="119">
        <f>D72/E21</f>
        <v>3.1537361243152658E-3</v>
      </c>
    </row>
    <row r="73" spans="2:5">
      <c r="B73" s="23" t="s">
        <v>62</v>
      </c>
      <c r="C73" s="24" t="s">
        <v>65</v>
      </c>
      <c r="D73" s="25">
        <f>E17</f>
        <v>968777.93</v>
      </c>
      <c r="E73" s="26">
        <f>D73/E21</f>
        <v>4.5962865140145859E-3</v>
      </c>
    </row>
    <row r="74" spans="2:5">
      <c r="B74" s="120" t="s">
        <v>64</v>
      </c>
      <c r="C74" s="121" t="s">
        <v>66</v>
      </c>
      <c r="D74" s="122">
        <f>D58+D71+D72-D73</f>
        <v>210774051.41</v>
      </c>
      <c r="E74" s="66">
        <f>E58+E72-E73</f>
        <v>1</v>
      </c>
    </row>
    <row r="75" spans="2:5">
      <c r="B75" s="14" t="s">
        <v>4</v>
      </c>
      <c r="C75" s="15" t="s">
        <v>67</v>
      </c>
      <c r="D75" s="78">
        <f>D74</f>
        <v>210774051.41</v>
      </c>
      <c r="E75" s="79">
        <f>E74</f>
        <v>1</v>
      </c>
    </row>
    <row r="76" spans="2:5">
      <c r="B76" s="14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6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6" right="0.75" top="0.56999999999999995" bottom="0.51" header="0.5" footer="0.5"/>
  <pageSetup paperSize="9" scale="7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"/>
  <dimension ref="A1:H81"/>
  <sheetViews>
    <sheetView zoomScale="80" zoomScaleNormal="80" workbookViewId="0">
      <selection activeCell="G1" sqref="G1:J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0.7109375" customWidth="1"/>
    <col min="8" max="8" width="12.42578125" bestFit="1" customWidth="1"/>
  </cols>
  <sheetData>
    <row r="1" spans="2:8">
      <c r="B1" s="1"/>
      <c r="C1" s="1"/>
      <c r="D1" s="2"/>
      <c r="E1" s="2"/>
    </row>
    <row r="2" spans="2:8" ht="15.75">
      <c r="B2" s="357" t="s">
        <v>0</v>
      </c>
      <c r="C2" s="357"/>
      <c r="D2" s="357"/>
      <c r="E2" s="357"/>
      <c r="H2" s="71"/>
    </row>
    <row r="3" spans="2:8" ht="15.75">
      <c r="B3" s="357" t="s">
        <v>267</v>
      </c>
      <c r="C3" s="357"/>
      <c r="D3" s="357"/>
      <c r="E3" s="357"/>
    </row>
    <row r="4" spans="2:8" ht="15">
      <c r="B4" s="87"/>
      <c r="C4" s="87"/>
      <c r="D4" s="87"/>
      <c r="E4" s="87"/>
    </row>
    <row r="5" spans="2:8" ht="21" customHeight="1">
      <c r="B5" s="358" t="s">
        <v>1</v>
      </c>
      <c r="C5" s="358"/>
      <c r="D5" s="358"/>
      <c r="E5" s="358"/>
    </row>
    <row r="6" spans="2:8" ht="14.25">
      <c r="B6" s="359" t="s">
        <v>100</v>
      </c>
      <c r="C6" s="359"/>
      <c r="D6" s="359"/>
      <c r="E6" s="359"/>
    </row>
    <row r="7" spans="2:8" ht="14.25">
      <c r="B7" s="89"/>
      <c r="C7" s="89"/>
      <c r="D7" s="89"/>
      <c r="E7" s="89"/>
    </row>
    <row r="8" spans="2:8" ht="13.5">
      <c r="B8" s="361" t="s">
        <v>18</v>
      </c>
      <c r="C8" s="363"/>
      <c r="D8" s="363"/>
      <c r="E8" s="363"/>
    </row>
    <row r="9" spans="2:8" ht="16.5" thickBot="1">
      <c r="B9" s="360" t="s">
        <v>103</v>
      </c>
      <c r="C9" s="360"/>
      <c r="D9" s="360"/>
      <c r="E9" s="360"/>
    </row>
    <row r="10" spans="2:8" ht="13.5" thickBot="1">
      <c r="B10" s="242"/>
      <c r="C10" s="215" t="s">
        <v>2</v>
      </c>
      <c r="D10" s="70" t="s">
        <v>125</v>
      </c>
      <c r="E10" s="319" t="s">
        <v>268</v>
      </c>
    </row>
    <row r="11" spans="2:8">
      <c r="B11" s="90" t="s">
        <v>3</v>
      </c>
      <c r="C11" s="128" t="s">
        <v>109</v>
      </c>
      <c r="D11" s="243">
        <v>8691929.5299999993</v>
      </c>
      <c r="E11" s="244">
        <f>SUM(E12:E14)</f>
        <v>8033776.5</v>
      </c>
    </row>
    <row r="12" spans="2:8">
      <c r="B12" s="174" t="s">
        <v>4</v>
      </c>
      <c r="C12" s="175" t="s">
        <v>5</v>
      </c>
      <c r="D12" s="283">
        <v>8691929.5299999993</v>
      </c>
      <c r="E12" s="304">
        <f>8014630.68+19145.82</f>
        <v>8033776.5</v>
      </c>
    </row>
    <row r="13" spans="2:8">
      <c r="B13" s="174" t="s">
        <v>6</v>
      </c>
      <c r="C13" s="176" t="s">
        <v>7</v>
      </c>
      <c r="D13" s="276"/>
      <c r="E13" s="305"/>
    </row>
    <row r="14" spans="2:8">
      <c r="B14" s="174" t="s">
        <v>8</v>
      </c>
      <c r="C14" s="176" t="s">
        <v>10</v>
      </c>
      <c r="D14" s="276"/>
      <c r="E14" s="305"/>
    </row>
    <row r="15" spans="2:8">
      <c r="B15" s="174" t="s">
        <v>106</v>
      </c>
      <c r="C15" s="176" t="s">
        <v>11</v>
      </c>
      <c r="D15" s="276"/>
      <c r="E15" s="305"/>
    </row>
    <row r="16" spans="2:8">
      <c r="B16" s="177" t="s">
        <v>107</v>
      </c>
      <c r="C16" s="178" t="s">
        <v>12</v>
      </c>
      <c r="D16" s="278"/>
      <c r="E16" s="306"/>
    </row>
    <row r="17" spans="2:7">
      <c r="B17" s="9" t="s">
        <v>13</v>
      </c>
      <c r="C17" s="11" t="s">
        <v>65</v>
      </c>
      <c r="D17" s="279">
        <v>24911.019999999997</v>
      </c>
      <c r="E17" s="307">
        <f>E18</f>
        <v>13154.77</v>
      </c>
    </row>
    <row r="18" spans="2:7">
      <c r="B18" s="174" t="s">
        <v>4</v>
      </c>
      <c r="C18" s="175" t="s">
        <v>11</v>
      </c>
      <c r="D18" s="278">
        <v>24911.019999999997</v>
      </c>
      <c r="E18" s="306">
        <v>13154.77</v>
      </c>
    </row>
    <row r="19" spans="2:7" ht="15" customHeight="1">
      <c r="B19" s="174" t="s">
        <v>6</v>
      </c>
      <c r="C19" s="176" t="s">
        <v>108</v>
      </c>
      <c r="D19" s="276"/>
      <c r="E19" s="305"/>
    </row>
    <row r="20" spans="2:7" ht="13.5" thickBot="1">
      <c r="B20" s="179" t="s">
        <v>8</v>
      </c>
      <c r="C20" s="180" t="s">
        <v>14</v>
      </c>
      <c r="D20" s="245"/>
      <c r="E20" s="246"/>
    </row>
    <row r="21" spans="2:7" ht="13.5" thickBot="1">
      <c r="B21" s="367" t="s">
        <v>110</v>
      </c>
      <c r="C21" s="368"/>
      <c r="D21" s="247">
        <v>8667018.5099999998</v>
      </c>
      <c r="E21" s="148">
        <f>E11-E17</f>
        <v>8020621.7300000004</v>
      </c>
      <c r="F21" s="77"/>
      <c r="G21" s="164">
        <f>E21-E41</f>
        <v>0</v>
      </c>
    </row>
    <row r="22" spans="2:7">
      <c r="B22" s="3"/>
      <c r="C22" s="7"/>
      <c r="D22" s="8"/>
      <c r="E22" s="8"/>
    </row>
    <row r="23" spans="2:7" ht="13.5">
      <c r="B23" s="361" t="s">
        <v>104</v>
      </c>
      <c r="C23" s="371"/>
      <c r="D23" s="371"/>
      <c r="E23" s="371"/>
    </row>
    <row r="24" spans="2:7" ht="15.75" customHeight="1" thickBot="1">
      <c r="B24" s="360" t="s">
        <v>105</v>
      </c>
      <c r="C24" s="372"/>
      <c r="D24" s="372"/>
      <c r="E24" s="372"/>
    </row>
    <row r="25" spans="2:7" ht="13.5" thickBot="1">
      <c r="B25" s="242"/>
      <c r="C25" s="181" t="s">
        <v>2</v>
      </c>
      <c r="D25" s="70" t="s">
        <v>125</v>
      </c>
      <c r="E25" s="319" t="s">
        <v>268</v>
      </c>
    </row>
    <row r="26" spans="2:7">
      <c r="B26" s="95" t="s">
        <v>15</v>
      </c>
      <c r="C26" s="96" t="s">
        <v>16</v>
      </c>
      <c r="D26" s="201">
        <v>11235091.560000001</v>
      </c>
      <c r="E26" s="231">
        <f>D21</f>
        <v>8667018.5099999998</v>
      </c>
    </row>
    <row r="27" spans="2:7">
      <c r="B27" s="9" t="s">
        <v>17</v>
      </c>
      <c r="C27" s="10" t="s">
        <v>111</v>
      </c>
      <c r="D27" s="202">
        <v>-2544277.84</v>
      </c>
      <c r="E27" s="224">
        <v>-817915.42</v>
      </c>
      <c r="F27" s="71"/>
    </row>
    <row r="28" spans="2:7">
      <c r="B28" s="9" t="s">
        <v>18</v>
      </c>
      <c r="C28" s="10" t="s">
        <v>19</v>
      </c>
      <c r="D28" s="202">
        <v>10612.56</v>
      </c>
      <c r="E28" s="225">
        <v>26850.97</v>
      </c>
      <c r="F28" s="71"/>
    </row>
    <row r="29" spans="2:7">
      <c r="B29" s="182" t="s">
        <v>4</v>
      </c>
      <c r="C29" s="175" t="s">
        <v>20</v>
      </c>
      <c r="D29" s="203"/>
      <c r="E29" s="226"/>
      <c r="F29" s="71"/>
    </row>
    <row r="30" spans="2:7">
      <c r="B30" s="182" t="s">
        <v>6</v>
      </c>
      <c r="C30" s="175" t="s">
        <v>21</v>
      </c>
      <c r="D30" s="203"/>
      <c r="E30" s="226"/>
      <c r="F30" s="71"/>
    </row>
    <row r="31" spans="2:7">
      <c r="B31" s="182" t="s">
        <v>8</v>
      </c>
      <c r="C31" s="175" t="s">
        <v>22</v>
      </c>
      <c r="D31" s="203">
        <v>10612.56</v>
      </c>
      <c r="E31" s="226">
        <v>26850.970000001005</v>
      </c>
      <c r="F31" s="71"/>
    </row>
    <row r="32" spans="2:7">
      <c r="B32" s="92" t="s">
        <v>23</v>
      </c>
      <c r="C32" s="11" t="s">
        <v>24</v>
      </c>
      <c r="D32" s="202">
        <v>2554890.4</v>
      </c>
      <c r="E32" s="225">
        <v>844766.39</v>
      </c>
      <c r="F32" s="71"/>
    </row>
    <row r="33" spans="2:6">
      <c r="B33" s="182" t="s">
        <v>4</v>
      </c>
      <c r="C33" s="175" t="s">
        <v>25</v>
      </c>
      <c r="D33" s="203">
        <v>2533868.98</v>
      </c>
      <c r="E33" s="226">
        <v>827155.81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21021.42</v>
      </c>
      <c r="E35" s="226">
        <v>17610.580000000002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/>
      <c r="E37" s="226"/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/>
      <c r="E39" s="227"/>
      <c r="F39" s="71"/>
    </row>
    <row r="40" spans="2:6" ht="13.5" thickBot="1">
      <c r="B40" s="97" t="s">
        <v>35</v>
      </c>
      <c r="C40" s="98" t="s">
        <v>36</v>
      </c>
      <c r="D40" s="205">
        <v>-23795.21</v>
      </c>
      <c r="E40" s="232">
        <v>171518.64</v>
      </c>
    </row>
    <row r="41" spans="2:6" ht="13.5" thickBot="1">
      <c r="B41" s="99" t="s">
        <v>37</v>
      </c>
      <c r="C41" s="100" t="s">
        <v>38</v>
      </c>
      <c r="D41" s="206">
        <v>8667018.5099999998</v>
      </c>
      <c r="E41" s="148">
        <f>E26+E27+E40</f>
        <v>8020621.7299999995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63"/>
      <c r="D43" s="363"/>
      <c r="E43" s="363"/>
    </row>
    <row r="44" spans="2:6" ht="18" customHeight="1" thickBot="1">
      <c r="B44" s="360" t="s">
        <v>121</v>
      </c>
      <c r="C44" s="364"/>
      <c r="D44" s="364"/>
      <c r="E44" s="364"/>
    </row>
    <row r="45" spans="2:6" ht="13.5" thickBot="1">
      <c r="B45" s="88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7">
        <v>1057685.5909559999</v>
      </c>
      <c r="E47" s="73">
        <v>817332.49030599999</v>
      </c>
    </row>
    <row r="48" spans="2:6">
      <c r="B48" s="123" t="s">
        <v>6</v>
      </c>
      <c r="C48" s="22" t="s">
        <v>41</v>
      </c>
      <c r="D48" s="207">
        <v>817332.49030599999</v>
      </c>
      <c r="E48" s="73">
        <v>740979.36313800002</v>
      </c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02" t="s">
        <v>4</v>
      </c>
      <c r="C50" s="15" t="s">
        <v>40</v>
      </c>
      <c r="D50" s="207">
        <v>10.622334</v>
      </c>
      <c r="E50" s="73">
        <v>10.60403</v>
      </c>
    </row>
    <row r="51" spans="2:5">
      <c r="B51" s="102" t="s">
        <v>6</v>
      </c>
      <c r="C51" s="15" t="s">
        <v>114</v>
      </c>
      <c r="D51" s="207">
        <v>10.51946</v>
      </c>
      <c r="E51" s="75">
        <v>10.60197</v>
      </c>
    </row>
    <row r="52" spans="2:5" ht="12.75" customHeight="1">
      <c r="B52" s="102" t="s">
        <v>8</v>
      </c>
      <c r="C52" s="15" t="s">
        <v>115</v>
      </c>
      <c r="D52" s="207">
        <v>10.68642</v>
      </c>
      <c r="E52" s="75">
        <v>10.90077</v>
      </c>
    </row>
    <row r="53" spans="2:5" ht="13.5" thickBot="1">
      <c r="B53" s="103" t="s">
        <v>9</v>
      </c>
      <c r="C53" s="17" t="s">
        <v>41</v>
      </c>
      <c r="D53" s="209">
        <v>10.60403</v>
      </c>
      <c r="E53" s="288">
        <v>10.8243519999999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5.7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D64+D69</f>
        <v>8033776.5000000009</v>
      </c>
      <c r="E58" s="31">
        <f>D58/E21</f>
        <v>1.0016401184899166</v>
      </c>
    </row>
    <row r="59" spans="2:5" ht="25.5">
      <c r="B59" s="187" t="s">
        <v>4</v>
      </c>
      <c r="C59" s="188" t="s">
        <v>44</v>
      </c>
      <c r="D59" s="80">
        <v>0</v>
      </c>
      <c r="E59" s="81">
        <v>0</v>
      </c>
    </row>
    <row r="60" spans="2:5" ht="24" customHeight="1">
      <c r="B60" s="185" t="s">
        <v>6</v>
      </c>
      <c r="C60" s="186" t="s">
        <v>45</v>
      </c>
      <c r="D60" s="78">
        <v>0</v>
      </c>
      <c r="E60" s="79">
        <v>0</v>
      </c>
    </row>
    <row r="61" spans="2:5">
      <c r="B61" s="185" t="s">
        <v>8</v>
      </c>
      <c r="C61" s="186" t="s">
        <v>46</v>
      </c>
      <c r="D61" s="78">
        <v>0</v>
      </c>
      <c r="E61" s="79">
        <v>0</v>
      </c>
    </row>
    <row r="62" spans="2:5">
      <c r="B62" s="185" t="s">
        <v>9</v>
      </c>
      <c r="C62" s="186" t="s">
        <v>47</v>
      </c>
      <c r="D62" s="78">
        <v>0</v>
      </c>
      <c r="E62" s="79">
        <v>0</v>
      </c>
    </row>
    <row r="63" spans="2:5">
      <c r="B63" s="185" t="s">
        <v>29</v>
      </c>
      <c r="C63" s="186" t="s">
        <v>48</v>
      </c>
      <c r="D63" s="78">
        <v>0</v>
      </c>
      <c r="E63" s="79">
        <v>0</v>
      </c>
    </row>
    <row r="64" spans="2:5">
      <c r="B64" s="187" t="s">
        <v>31</v>
      </c>
      <c r="C64" s="188" t="s">
        <v>49</v>
      </c>
      <c r="D64" s="304">
        <v>8014630.6800000006</v>
      </c>
      <c r="E64" s="81">
        <f>D64/E21</f>
        <v>0.99925304419012917</v>
      </c>
    </row>
    <row r="65" spans="2:5">
      <c r="B65" s="187" t="s">
        <v>33</v>
      </c>
      <c r="C65" s="188" t="s">
        <v>118</v>
      </c>
      <c r="D65" s="80">
        <v>0</v>
      </c>
      <c r="E65" s="81">
        <v>0</v>
      </c>
    </row>
    <row r="66" spans="2:5">
      <c r="B66" s="187" t="s">
        <v>50</v>
      </c>
      <c r="C66" s="188" t="s">
        <v>51</v>
      </c>
      <c r="D66" s="80">
        <v>0</v>
      </c>
      <c r="E66" s="81">
        <v>0</v>
      </c>
    </row>
    <row r="67" spans="2:5">
      <c r="B67" s="185" t="s">
        <v>52</v>
      </c>
      <c r="C67" s="186" t="s">
        <v>53</v>
      </c>
      <c r="D67" s="78">
        <v>0</v>
      </c>
      <c r="E67" s="79">
        <v>0</v>
      </c>
    </row>
    <row r="68" spans="2:5">
      <c r="B68" s="185" t="s">
        <v>54</v>
      </c>
      <c r="C68" s="186" t="s">
        <v>55</v>
      </c>
      <c r="D68" s="78">
        <v>0</v>
      </c>
      <c r="E68" s="79">
        <v>0</v>
      </c>
    </row>
    <row r="69" spans="2:5">
      <c r="B69" s="185" t="s">
        <v>56</v>
      </c>
      <c r="C69" s="186" t="s">
        <v>57</v>
      </c>
      <c r="D69" s="274">
        <v>19145.82</v>
      </c>
      <c r="E69" s="79">
        <f>D69/E21</f>
        <v>2.3870742997874803E-3</v>
      </c>
    </row>
    <row r="70" spans="2:5">
      <c r="B70" s="238" t="s">
        <v>58</v>
      </c>
      <c r="C70" s="237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f>D72/E21</f>
        <v>0</v>
      </c>
    </row>
    <row r="73" spans="2:5">
      <c r="B73" s="132" t="s">
        <v>62</v>
      </c>
      <c r="C73" s="24" t="s">
        <v>65</v>
      </c>
      <c r="D73" s="25">
        <f>E17</f>
        <v>13154.77</v>
      </c>
      <c r="E73" s="26">
        <f>D73/E21</f>
        <v>1.6401184899166165E-3</v>
      </c>
    </row>
    <row r="74" spans="2:5">
      <c r="B74" s="130" t="s">
        <v>64</v>
      </c>
      <c r="C74" s="121" t="s">
        <v>66</v>
      </c>
      <c r="D74" s="122">
        <f>D58+D72-D73</f>
        <v>8020621.7300000014</v>
      </c>
      <c r="E74" s="66">
        <f>E58+E72-E73</f>
        <v>1</v>
      </c>
    </row>
    <row r="75" spans="2:5">
      <c r="B75" s="185" t="s">
        <v>4</v>
      </c>
      <c r="C75" s="186" t="s">
        <v>67</v>
      </c>
      <c r="D75" s="78">
        <f>D74</f>
        <v>8020621.7300000014</v>
      </c>
      <c r="E75" s="79">
        <f>E74</f>
        <v>1</v>
      </c>
    </row>
    <row r="76" spans="2:5">
      <c r="B76" s="185" t="s">
        <v>6</v>
      </c>
      <c r="C76" s="186" t="s">
        <v>119</v>
      </c>
      <c r="D76" s="78">
        <v>0</v>
      </c>
      <c r="E76" s="79">
        <v>0</v>
      </c>
    </row>
    <row r="77" spans="2:5" ht="13.5" thickBot="1">
      <c r="B77" s="189" t="s">
        <v>8</v>
      </c>
      <c r="C77" s="190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5118110236220474" right="0.74803149606299213" top="0.51181102362204722" bottom="0.62992125984251968" header="0.51181102362204722" footer="0.51181102362204722"/>
  <pageSetup paperSize="9" scale="7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"/>
  <dimension ref="A1:G81"/>
  <sheetViews>
    <sheetView topLeftCell="A25" zoomScale="80" zoomScaleNormal="80" workbookViewId="0">
      <selection activeCell="B55" sqref="B55:E5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87"/>
      <c r="C4" s="87"/>
      <c r="D4" s="87"/>
      <c r="E4" s="87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74</v>
      </c>
      <c r="C6" s="359"/>
      <c r="D6" s="359"/>
      <c r="E6" s="359"/>
    </row>
    <row r="7" spans="2:7" ht="14.25">
      <c r="B7" s="89"/>
      <c r="C7" s="89"/>
      <c r="D7" s="89"/>
      <c r="E7" s="89"/>
    </row>
    <row r="8" spans="2:7" ht="13.5">
      <c r="B8" s="361" t="s">
        <v>18</v>
      </c>
      <c r="C8" s="363"/>
      <c r="D8" s="363"/>
      <c r="E8" s="363"/>
    </row>
    <row r="9" spans="2:7" ht="16.5" customHeight="1" thickBot="1">
      <c r="B9" s="360" t="s">
        <v>103</v>
      </c>
      <c r="C9" s="360"/>
      <c r="D9" s="360"/>
      <c r="E9" s="360"/>
    </row>
    <row r="10" spans="2:7" ht="16.5" customHeight="1" thickBot="1">
      <c r="B10" s="333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9165848.3399999999</v>
      </c>
      <c r="E11" s="244">
        <f>SUM(E12:E14)</f>
        <v>8356944.0899999999</v>
      </c>
    </row>
    <row r="12" spans="2:7">
      <c r="B12" s="106" t="s">
        <v>4</v>
      </c>
      <c r="C12" s="6" t="s">
        <v>5</v>
      </c>
      <c r="D12" s="283">
        <v>9165848.3399999999</v>
      </c>
      <c r="E12" s="304">
        <f>8347489.22+15846.41-6391.54</f>
        <v>8356944.0899999999</v>
      </c>
    </row>
    <row r="13" spans="2:7">
      <c r="B13" s="106" t="s">
        <v>6</v>
      </c>
      <c r="C13" s="68" t="s">
        <v>7</v>
      </c>
      <c r="D13" s="276"/>
      <c r="E13" s="305"/>
    </row>
    <row r="14" spans="2:7">
      <c r="B14" s="106" t="s">
        <v>8</v>
      </c>
      <c r="C14" s="68" t="s">
        <v>10</v>
      </c>
      <c r="D14" s="276"/>
      <c r="E14" s="305"/>
    </row>
    <row r="15" spans="2:7">
      <c r="B15" s="106" t="s">
        <v>106</v>
      </c>
      <c r="C15" s="68" t="s">
        <v>11</v>
      </c>
      <c r="D15" s="276"/>
      <c r="E15" s="305"/>
    </row>
    <row r="16" spans="2:7">
      <c r="B16" s="107" t="s">
        <v>107</v>
      </c>
      <c r="C16" s="91" t="s">
        <v>12</v>
      </c>
      <c r="D16" s="278"/>
      <c r="E16" s="306"/>
    </row>
    <row r="17" spans="2:6">
      <c r="B17" s="9" t="s">
        <v>13</v>
      </c>
      <c r="C17" s="11" t="s">
        <v>65</v>
      </c>
      <c r="D17" s="279">
        <v>16263.15</v>
      </c>
      <c r="E17" s="307">
        <f>E18</f>
        <v>14337.37</v>
      </c>
    </row>
    <row r="18" spans="2:6">
      <c r="B18" s="106" t="s">
        <v>4</v>
      </c>
      <c r="C18" s="6" t="s">
        <v>11</v>
      </c>
      <c r="D18" s="278">
        <v>16263.15</v>
      </c>
      <c r="E18" s="306">
        <v>14337.37</v>
      </c>
    </row>
    <row r="19" spans="2:6" ht="15" customHeight="1">
      <c r="B19" s="106" t="s">
        <v>6</v>
      </c>
      <c r="C19" s="68" t="s">
        <v>108</v>
      </c>
      <c r="D19" s="276"/>
      <c r="E19" s="305"/>
    </row>
    <row r="20" spans="2:6" ht="13.5" thickBot="1">
      <c r="B20" s="108" t="s">
        <v>8</v>
      </c>
      <c r="C20" s="69" t="s">
        <v>14</v>
      </c>
      <c r="D20" s="245"/>
      <c r="E20" s="246"/>
    </row>
    <row r="21" spans="2:6" ht="13.5" customHeight="1" thickBot="1">
      <c r="B21" s="365" t="s">
        <v>110</v>
      </c>
      <c r="C21" s="375"/>
      <c r="D21" s="247">
        <v>9149585.1899999995</v>
      </c>
      <c r="E21" s="148">
        <f>E11-E17</f>
        <v>8342606.7199999997</v>
      </c>
      <c r="F21" s="77"/>
    </row>
    <row r="22" spans="2:6" ht="13.5" customHeight="1">
      <c r="B22" s="3"/>
      <c r="C22" s="7"/>
      <c r="D22" s="8"/>
      <c r="E22" s="8"/>
    </row>
    <row r="23" spans="2:6" ht="13.5">
      <c r="B23" s="361" t="s">
        <v>104</v>
      </c>
      <c r="C23" s="369"/>
      <c r="D23" s="369"/>
      <c r="E23" s="369"/>
    </row>
    <row r="24" spans="2:6" ht="15.75" customHeight="1" thickBot="1">
      <c r="B24" s="360" t="s">
        <v>105</v>
      </c>
      <c r="C24" s="370"/>
      <c r="D24" s="370"/>
      <c r="E24" s="370"/>
    </row>
    <row r="25" spans="2:6" ht="13.5" thickBot="1">
      <c r="B25" s="88"/>
      <c r="C25" s="5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10980876.390000001</v>
      </c>
      <c r="E26" s="231">
        <f>D21</f>
        <v>9149585.1899999995</v>
      </c>
    </row>
    <row r="27" spans="2:6">
      <c r="B27" s="9" t="s">
        <v>17</v>
      </c>
      <c r="C27" s="10" t="s">
        <v>111</v>
      </c>
      <c r="D27" s="202">
        <v>-1370660.8900000001</v>
      </c>
      <c r="E27" s="224">
        <f>E28-E32</f>
        <v>-706717.49</v>
      </c>
      <c r="F27" s="71"/>
    </row>
    <row r="28" spans="2:6">
      <c r="B28" s="9" t="s">
        <v>18</v>
      </c>
      <c r="C28" s="10" t="s">
        <v>19</v>
      </c>
      <c r="D28" s="202">
        <v>0</v>
      </c>
      <c r="E28" s="225">
        <v>840.51</v>
      </c>
      <c r="F28" s="71"/>
    </row>
    <row r="29" spans="2:6">
      <c r="B29" s="104" t="s">
        <v>4</v>
      </c>
      <c r="C29" s="6" t="s">
        <v>20</v>
      </c>
      <c r="D29" s="203"/>
      <c r="E29" s="226"/>
      <c r="F29" s="71"/>
    </row>
    <row r="30" spans="2:6">
      <c r="B30" s="104" t="s">
        <v>6</v>
      </c>
      <c r="C30" s="6" t="s">
        <v>21</v>
      </c>
      <c r="D30" s="203"/>
      <c r="E30" s="226"/>
      <c r="F30" s="71"/>
    </row>
    <row r="31" spans="2:6">
      <c r="B31" s="104" t="s">
        <v>8</v>
      </c>
      <c r="C31" s="6" t="s">
        <v>22</v>
      </c>
      <c r="D31" s="203"/>
      <c r="E31" s="226">
        <v>840.51</v>
      </c>
      <c r="F31" s="71"/>
    </row>
    <row r="32" spans="2:6">
      <c r="B32" s="92" t="s">
        <v>23</v>
      </c>
      <c r="C32" s="11" t="s">
        <v>24</v>
      </c>
      <c r="D32" s="202">
        <v>1370660.8900000001</v>
      </c>
      <c r="E32" s="225">
        <f>SUM(E33:E39)</f>
        <v>707558</v>
      </c>
      <c r="F32" s="71"/>
    </row>
    <row r="33" spans="2:6">
      <c r="B33" s="104" t="s">
        <v>4</v>
      </c>
      <c r="C33" s="6" t="s">
        <v>25</v>
      </c>
      <c r="D33" s="203">
        <v>1281927.55</v>
      </c>
      <c r="E33" s="226">
        <f>606180.07+6391.54</f>
        <v>612571.61</v>
      </c>
      <c r="F33" s="71"/>
    </row>
    <row r="34" spans="2:6">
      <c r="B34" s="104" t="s">
        <v>6</v>
      </c>
      <c r="C34" s="6" t="s">
        <v>26</v>
      </c>
      <c r="D34" s="203"/>
      <c r="E34" s="226"/>
      <c r="F34" s="71"/>
    </row>
    <row r="35" spans="2:6">
      <c r="B35" s="104" t="s">
        <v>8</v>
      </c>
      <c r="C35" s="6" t="s">
        <v>27</v>
      </c>
      <c r="D35" s="203">
        <v>87051.58</v>
      </c>
      <c r="E35" s="226">
        <v>94986.39</v>
      </c>
      <c r="F35" s="71"/>
    </row>
    <row r="36" spans="2:6">
      <c r="B36" s="104" t="s">
        <v>9</v>
      </c>
      <c r="C36" s="6" t="s">
        <v>28</v>
      </c>
      <c r="D36" s="203"/>
      <c r="E36" s="226"/>
      <c r="F36" s="71"/>
    </row>
    <row r="37" spans="2:6" ht="25.5">
      <c r="B37" s="104" t="s">
        <v>29</v>
      </c>
      <c r="C37" s="6" t="s">
        <v>30</v>
      </c>
      <c r="D37" s="203"/>
      <c r="E37" s="226"/>
      <c r="F37" s="71"/>
    </row>
    <row r="38" spans="2:6">
      <c r="B38" s="104" t="s">
        <v>31</v>
      </c>
      <c r="C38" s="6" t="s">
        <v>32</v>
      </c>
      <c r="D38" s="203"/>
      <c r="E38" s="226"/>
      <c r="F38" s="71"/>
    </row>
    <row r="39" spans="2:6">
      <c r="B39" s="105" t="s">
        <v>33</v>
      </c>
      <c r="C39" s="12" t="s">
        <v>34</v>
      </c>
      <c r="D39" s="204">
        <v>1681.76</v>
      </c>
      <c r="E39" s="227"/>
      <c r="F39" s="71"/>
    </row>
    <row r="40" spans="2:6" ht="13.5" thickBot="1">
      <c r="B40" s="97" t="s">
        <v>35</v>
      </c>
      <c r="C40" s="98" t="s">
        <v>36</v>
      </c>
      <c r="D40" s="205">
        <v>-460630.31</v>
      </c>
      <c r="E40" s="232">
        <v>-100260.98</v>
      </c>
    </row>
    <row r="41" spans="2:6" ht="13.5" thickBot="1">
      <c r="B41" s="99" t="s">
        <v>37</v>
      </c>
      <c r="C41" s="100" t="s">
        <v>38</v>
      </c>
      <c r="D41" s="206">
        <v>9149585.1899999995</v>
      </c>
      <c r="E41" s="148">
        <f>E26+E27+E40</f>
        <v>8342606.7199999988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63"/>
      <c r="D43" s="363"/>
      <c r="E43" s="363"/>
    </row>
    <row r="44" spans="2:6" ht="18" customHeight="1" thickBot="1">
      <c r="B44" s="360" t="s">
        <v>121</v>
      </c>
      <c r="C44" s="364"/>
      <c r="D44" s="364"/>
      <c r="E44" s="364"/>
    </row>
    <row r="45" spans="2:6" ht="13.5" thickBot="1">
      <c r="B45" s="88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7">
        <v>1126274.9694330001</v>
      </c>
      <c r="E47" s="73">
        <v>982505.90725199995</v>
      </c>
    </row>
    <row r="48" spans="2:6">
      <c r="B48" s="123" t="s">
        <v>6</v>
      </c>
      <c r="C48" s="22" t="s">
        <v>41</v>
      </c>
      <c r="D48" s="207">
        <v>982505.90725199995</v>
      </c>
      <c r="E48" s="73">
        <v>906379.75520200003</v>
      </c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02" t="s">
        <v>4</v>
      </c>
      <c r="C50" s="15" t="s">
        <v>40</v>
      </c>
      <c r="D50" s="207">
        <v>9.7497290000000003</v>
      </c>
      <c r="E50" s="73">
        <v>9.3124990000000007</v>
      </c>
    </row>
    <row r="51" spans="2:5">
      <c r="B51" s="102" t="s">
        <v>6</v>
      </c>
      <c r="C51" s="15" t="s">
        <v>114</v>
      </c>
      <c r="D51" s="207">
        <v>9.2539549999999995</v>
      </c>
      <c r="E51" s="75">
        <v>9.1157609999999991</v>
      </c>
    </row>
    <row r="52" spans="2:5" ht="12.75" customHeight="1">
      <c r="B52" s="102" t="s">
        <v>8</v>
      </c>
      <c r="C52" s="15" t="s">
        <v>115</v>
      </c>
      <c r="D52" s="207">
        <v>9.8983729999999994</v>
      </c>
      <c r="E52" s="75">
        <v>9.4380380000000006</v>
      </c>
    </row>
    <row r="53" spans="2:5" ht="13.5" thickBot="1">
      <c r="B53" s="103" t="s">
        <v>9</v>
      </c>
      <c r="C53" s="17" t="s">
        <v>41</v>
      </c>
      <c r="D53" s="209">
        <v>9.3124990000000007</v>
      </c>
      <c r="E53" s="233">
        <v>9.2043169999999996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4.25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D64+D69</f>
        <v>8356944.0899999999</v>
      </c>
      <c r="E58" s="31">
        <f>D58/E21</f>
        <v>1.0017185719621218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4" customHeight="1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304">
        <f>8347489.22-6391.54</f>
        <v>8341097.6799999997</v>
      </c>
      <c r="E64" s="81">
        <f>D64/E21</f>
        <v>0.99981911648832944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15846.41</v>
      </c>
      <c r="E69" s="79">
        <f>D69/E21</f>
        <v>1.8994554737922489E-3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f>E13</f>
        <v>0</v>
      </c>
      <c r="E71" s="66">
        <f>D71/E21</f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f>D72/E21</f>
        <v>0</v>
      </c>
    </row>
    <row r="73" spans="2:5">
      <c r="B73" s="132" t="s">
        <v>62</v>
      </c>
      <c r="C73" s="24" t="s">
        <v>65</v>
      </c>
      <c r="D73" s="25">
        <f>E17</f>
        <v>14337.37</v>
      </c>
      <c r="E73" s="26">
        <f>D73/E21</f>
        <v>1.7185719621216906E-3</v>
      </c>
    </row>
    <row r="74" spans="2:5">
      <c r="B74" s="130" t="s">
        <v>64</v>
      </c>
      <c r="C74" s="121" t="s">
        <v>66</v>
      </c>
      <c r="D74" s="122">
        <f>D58+D72-D73+D71</f>
        <v>8342606.7199999997</v>
      </c>
      <c r="E74" s="66">
        <f>E58+E71+E72-E73</f>
        <v>1</v>
      </c>
    </row>
    <row r="75" spans="2:5">
      <c r="B75" s="102" t="s">
        <v>4</v>
      </c>
      <c r="C75" s="15" t="s">
        <v>67</v>
      </c>
      <c r="D75" s="78">
        <f>D74</f>
        <v>8342606.7199999997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rowBreaks count="1" manualBreakCount="1">
    <brk id="74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zoomScale="80" zoomScaleNormal="80" workbookViewId="0">
      <selection activeCell="J28" sqref="J28"/>
    </sheetView>
  </sheetViews>
  <sheetFormatPr defaultRowHeight="12.75"/>
  <cols>
    <col min="1" max="1" width="9.140625" style="1"/>
    <col min="2" max="2" width="5.28515625" style="84" bestFit="1" customWidth="1"/>
    <col min="3" max="3" width="78.7109375" style="84" customWidth="1"/>
    <col min="4" max="4" width="18.140625" style="84" customWidth="1"/>
    <col min="5" max="5" width="18" style="84" customWidth="1"/>
    <col min="6" max="6" width="7.42578125" style="321" customWidth="1"/>
    <col min="7" max="7" width="12.42578125" style="321" bestFit="1" customWidth="1"/>
    <col min="8" max="16384" width="9.140625" style="321"/>
  </cols>
  <sheetData>
    <row r="1" spans="2:7">
      <c r="D1" s="334"/>
      <c r="E1" s="334"/>
    </row>
    <row r="2" spans="2:7" ht="15.75">
      <c r="B2" s="357" t="s">
        <v>0</v>
      </c>
      <c r="C2" s="357"/>
      <c r="D2" s="357"/>
      <c r="E2" s="357"/>
      <c r="G2" s="322"/>
    </row>
    <row r="3" spans="2:7" ht="15.75">
      <c r="B3" s="357" t="s">
        <v>267</v>
      </c>
      <c r="C3" s="357"/>
      <c r="D3" s="357"/>
      <c r="E3" s="357"/>
    </row>
    <row r="4" spans="2:7" ht="15">
      <c r="B4" s="147"/>
      <c r="C4" s="147"/>
      <c r="D4" s="147"/>
      <c r="E4" s="147"/>
    </row>
    <row r="5" spans="2:7" ht="21" customHeight="1">
      <c r="B5" s="358" t="s">
        <v>1</v>
      </c>
      <c r="C5" s="358"/>
      <c r="D5" s="358"/>
      <c r="E5" s="358"/>
    </row>
    <row r="6" spans="2:7" ht="12.75" customHeight="1">
      <c r="B6" s="359" t="s">
        <v>282</v>
      </c>
      <c r="C6" s="359"/>
      <c r="D6" s="359"/>
      <c r="E6" s="359"/>
    </row>
    <row r="7" spans="2:7">
      <c r="B7" s="335"/>
      <c r="C7" s="335"/>
      <c r="D7" s="335"/>
      <c r="E7" s="335"/>
    </row>
    <row r="8" spans="2:7" ht="13.5">
      <c r="B8" s="361" t="s">
        <v>18</v>
      </c>
      <c r="C8" s="363"/>
      <c r="D8" s="363"/>
      <c r="E8" s="363"/>
    </row>
    <row r="9" spans="2:7" ht="17.25" customHeight="1" thickBot="1">
      <c r="B9" s="360" t="s">
        <v>103</v>
      </c>
      <c r="C9" s="360"/>
      <c r="D9" s="360"/>
      <c r="E9" s="360"/>
    </row>
    <row r="10" spans="2:7" ht="13.5" thickBot="1">
      <c r="B10" s="333"/>
      <c r="C10" s="215" t="s">
        <v>2</v>
      </c>
      <c r="D10" s="70" t="s">
        <v>125</v>
      </c>
      <c r="E10" s="70" t="s">
        <v>268</v>
      </c>
    </row>
    <row r="11" spans="2:7">
      <c r="B11" s="90" t="s">
        <v>3</v>
      </c>
      <c r="C11" s="128" t="s">
        <v>109</v>
      </c>
      <c r="D11" s="243"/>
      <c r="E11" s="244"/>
    </row>
    <row r="12" spans="2:7">
      <c r="B12" s="174" t="s">
        <v>4</v>
      </c>
      <c r="C12" s="175" t="s">
        <v>5</v>
      </c>
      <c r="D12" s="336"/>
      <c r="E12" s="337"/>
    </row>
    <row r="13" spans="2:7">
      <c r="B13" s="174" t="s">
        <v>6</v>
      </c>
      <c r="C13" s="176" t="s">
        <v>7</v>
      </c>
      <c r="D13" s="338"/>
      <c r="E13" s="339"/>
    </row>
    <row r="14" spans="2:7">
      <c r="B14" s="174" t="s">
        <v>8</v>
      </c>
      <c r="C14" s="176" t="s">
        <v>10</v>
      </c>
      <c r="D14" s="338"/>
      <c r="E14" s="339"/>
    </row>
    <row r="15" spans="2:7">
      <c r="B15" s="174" t="s">
        <v>106</v>
      </c>
      <c r="C15" s="176" t="s">
        <v>11</v>
      </c>
      <c r="D15" s="338"/>
      <c r="E15" s="339"/>
    </row>
    <row r="16" spans="2:7">
      <c r="B16" s="177" t="s">
        <v>107</v>
      </c>
      <c r="C16" s="178" t="s">
        <v>12</v>
      </c>
      <c r="D16" s="340"/>
      <c r="E16" s="341"/>
    </row>
    <row r="17" spans="2:6">
      <c r="B17" s="9" t="s">
        <v>13</v>
      </c>
      <c r="C17" s="11" t="s">
        <v>65</v>
      </c>
      <c r="D17" s="342"/>
      <c r="E17" s="343"/>
    </row>
    <row r="18" spans="2:6">
      <c r="B18" s="174" t="s">
        <v>4</v>
      </c>
      <c r="C18" s="175" t="s">
        <v>11</v>
      </c>
      <c r="D18" s="340"/>
      <c r="E18" s="341"/>
    </row>
    <row r="19" spans="2:6" ht="11.25" customHeight="1">
      <c r="B19" s="174" t="s">
        <v>6</v>
      </c>
      <c r="C19" s="176" t="s">
        <v>108</v>
      </c>
      <c r="D19" s="338"/>
      <c r="E19" s="339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customHeight="1" thickBot="1">
      <c r="B21" s="365" t="s">
        <v>110</v>
      </c>
      <c r="C21" s="375"/>
      <c r="D21" s="247"/>
      <c r="E21" s="148"/>
      <c r="F21" s="323"/>
    </row>
    <row r="22" spans="2:6">
      <c r="B22" s="344"/>
      <c r="C22" s="345"/>
      <c r="D22" s="346"/>
      <c r="E22" s="346"/>
    </row>
    <row r="23" spans="2:6" ht="13.5">
      <c r="B23" s="361" t="s">
        <v>104</v>
      </c>
      <c r="C23" s="369"/>
      <c r="D23" s="369"/>
      <c r="E23" s="369"/>
    </row>
    <row r="24" spans="2:6" ht="15.75" customHeight="1" thickBot="1">
      <c r="B24" s="360" t="s">
        <v>105</v>
      </c>
      <c r="C24" s="370"/>
      <c r="D24" s="370"/>
      <c r="E24" s="370"/>
    </row>
    <row r="25" spans="2:6" ht="13.5" thickBot="1">
      <c r="B25" s="333"/>
      <c r="C25" s="181" t="s">
        <v>2</v>
      </c>
      <c r="D25" s="70" t="s">
        <v>125</v>
      </c>
      <c r="E25" s="347" t="s">
        <v>268</v>
      </c>
    </row>
    <row r="26" spans="2:6" ht="12.75" customHeight="1">
      <c r="B26" s="95" t="s">
        <v>15</v>
      </c>
      <c r="C26" s="96" t="s">
        <v>16</v>
      </c>
      <c r="D26" s="201">
        <v>19683.14</v>
      </c>
      <c r="E26" s="231"/>
    </row>
    <row r="27" spans="2:6">
      <c r="B27" s="9" t="s">
        <v>17</v>
      </c>
      <c r="C27" s="10" t="s">
        <v>111</v>
      </c>
      <c r="D27" s="202">
        <v>-19865.46</v>
      </c>
      <c r="E27" s="224"/>
      <c r="F27" s="322"/>
    </row>
    <row r="28" spans="2:6">
      <c r="B28" s="9" t="s">
        <v>18</v>
      </c>
      <c r="C28" s="10" t="s">
        <v>19</v>
      </c>
      <c r="D28" s="202">
        <v>0</v>
      </c>
      <c r="E28" s="224"/>
      <c r="F28" s="322"/>
    </row>
    <row r="29" spans="2:6">
      <c r="B29" s="182" t="s">
        <v>4</v>
      </c>
      <c r="C29" s="175" t="s">
        <v>20</v>
      </c>
      <c r="D29" s="203"/>
      <c r="E29" s="337"/>
      <c r="F29" s="322"/>
    </row>
    <row r="30" spans="2:6">
      <c r="B30" s="182" t="s">
        <v>6</v>
      </c>
      <c r="C30" s="175" t="s">
        <v>21</v>
      </c>
      <c r="D30" s="203"/>
      <c r="E30" s="337"/>
      <c r="F30" s="322"/>
    </row>
    <row r="31" spans="2:6">
      <c r="B31" s="182" t="s">
        <v>8</v>
      </c>
      <c r="C31" s="175" t="s">
        <v>22</v>
      </c>
      <c r="D31" s="203"/>
      <c r="E31" s="337"/>
      <c r="F31" s="322"/>
    </row>
    <row r="32" spans="2:6">
      <c r="B32" s="92" t="s">
        <v>23</v>
      </c>
      <c r="C32" s="11" t="s">
        <v>24</v>
      </c>
      <c r="D32" s="202">
        <v>19865.46</v>
      </c>
      <c r="E32" s="224"/>
      <c r="F32" s="322"/>
    </row>
    <row r="33" spans="2:6">
      <c r="B33" s="182" t="s">
        <v>4</v>
      </c>
      <c r="C33" s="175" t="s">
        <v>25</v>
      </c>
      <c r="D33" s="203">
        <v>14134.91</v>
      </c>
      <c r="E33" s="337"/>
      <c r="F33" s="322"/>
    </row>
    <row r="34" spans="2:6">
      <c r="B34" s="182" t="s">
        <v>6</v>
      </c>
      <c r="C34" s="175" t="s">
        <v>26</v>
      </c>
      <c r="D34" s="203"/>
      <c r="E34" s="337"/>
      <c r="F34" s="322"/>
    </row>
    <row r="35" spans="2:6" ht="12.75" customHeight="1">
      <c r="B35" s="182" t="s">
        <v>8</v>
      </c>
      <c r="C35" s="175" t="s">
        <v>27</v>
      </c>
      <c r="D35" s="203">
        <v>11.3</v>
      </c>
      <c r="E35" s="337"/>
      <c r="F35" s="322"/>
    </row>
    <row r="36" spans="2:6">
      <c r="B36" s="182" t="s">
        <v>9</v>
      </c>
      <c r="C36" s="175" t="s">
        <v>28</v>
      </c>
      <c r="D36" s="203"/>
      <c r="E36" s="337"/>
      <c r="F36" s="322"/>
    </row>
    <row r="37" spans="2:6" ht="25.5">
      <c r="B37" s="182" t="s">
        <v>29</v>
      </c>
      <c r="C37" s="175" t="s">
        <v>30</v>
      </c>
      <c r="D37" s="203">
        <v>244.42</v>
      </c>
      <c r="E37" s="337"/>
      <c r="F37" s="322"/>
    </row>
    <row r="38" spans="2:6">
      <c r="B38" s="182" t="s">
        <v>31</v>
      </c>
      <c r="C38" s="175" t="s">
        <v>32</v>
      </c>
      <c r="D38" s="203"/>
      <c r="E38" s="337"/>
      <c r="F38" s="322"/>
    </row>
    <row r="39" spans="2:6">
      <c r="B39" s="183" t="s">
        <v>33</v>
      </c>
      <c r="C39" s="184" t="s">
        <v>34</v>
      </c>
      <c r="D39" s="204">
        <v>5474.83</v>
      </c>
      <c r="E39" s="227"/>
      <c r="F39" s="322"/>
    </row>
    <row r="40" spans="2:6" ht="13.5" thickBot="1">
      <c r="B40" s="97" t="s">
        <v>35</v>
      </c>
      <c r="C40" s="98" t="s">
        <v>36</v>
      </c>
      <c r="D40" s="205">
        <v>182.32</v>
      </c>
      <c r="E40" s="232"/>
    </row>
    <row r="41" spans="2:6" ht="13.5" thickBot="1">
      <c r="B41" s="99" t="s">
        <v>37</v>
      </c>
      <c r="C41" s="100" t="s">
        <v>38</v>
      </c>
      <c r="D41" s="206" t="s">
        <v>123</v>
      </c>
      <c r="E41" s="148"/>
      <c r="F41" s="323"/>
    </row>
    <row r="42" spans="2:6">
      <c r="B42" s="93"/>
      <c r="C42" s="93"/>
      <c r="D42" s="94"/>
      <c r="E42" s="94"/>
      <c r="F42" s="323"/>
    </row>
    <row r="43" spans="2:6" ht="13.5">
      <c r="B43" s="362" t="s">
        <v>60</v>
      </c>
      <c r="C43" s="363"/>
      <c r="D43" s="363"/>
      <c r="E43" s="363"/>
    </row>
    <row r="44" spans="2:6" ht="18" customHeight="1" thickBot="1">
      <c r="B44" s="360" t="s">
        <v>121</v>
      </c>
      <c r="C44" s="364"/>
      <c r="D44" s="364"/>
      <c r="E44" s="364"/>
    </row>
    <row r="45" spans="2:6" ht="13.5" thickBot="1">
      <c r="B45" s="333"/>
      <c r="C45" s="29" t="s">
        <v>39</v>
      </c>
      <c r="D45" s="70" t="s">
        <v>125</v>
      </c>
      <c r="E45" s="347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127.97880000000001</v>
      </c>
      <c r="E47" s="348"/>
    </row>
    <row r="48" spans="2:6">
      <c r="B48" s="187" t="s">
        <v>6</v>
      </c>
      <c r="C48" s="188" t="s">
        <v>41</v>
      </c>
      <c r="D48" s="349"/>
      <c r="E48" s="350"/>
    </row>
    <row r="49" spans="2:5">
      <c r="B49" s="120" t="s">
        <v>23</v>
      </c>
      <c r="C49" s="124" t="s">
        <v>113</v>
      </c>
      <c r="D49" s="208"/>
      <c r="E49" s="348"/>
    </row>
    <row r="50" spans="2:5">
      <c r="B50" s="185" t="s">
        <v>4</v>
      </c>
      <c r="C50" s="186" t="s">
        <v>40</v>
      </c>
      <c r="D50" s="207">
        <v>153.80000000000001</v>
      </c>
      <c r="E50" s="348"/>
    </row>
    <row r="51" spans="2:5" ht="15" customHeight="1">
      <c r="B51" s="185" t="s">
        <v>6</v>
      </c>
      <c r="C51" s="186" t="s">
        <v>114</v>
      </c>
      <c r="D51" s="351">
        <v>137.28</v>
      </c>
      <c r="E51" s="348"/>
    </row>
    <row r="52" spans="2:5" ht="14.25" customHeight="1">
      <c r="B52" s="185" t="s">
        <v>8</v>
      </c>
      <c r="C52" s="186" t="s">
        <v>115</v>
      </c>
      <c r="D52" s="351">
        <v>161.94999999999999</v>
      </c>
      <c r="E52" s="348"/>
    </row>
    <row r="53" spans="2:5" ht="12.75" customHeight="1" thickBot="1">
      <c r="B53" s="189" t="s">
        <v>9</v>
      </c>
      <c r="C53" s="190" t="s">
        <v>41</v>
      </c>
      <c r="D53" s="209"/>
      <c r="E53" s="352"/>
    </row>
    <row r="54" spans="2:5">
      <c r="B54" s="191"/>
      <c r="C54" s="192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8" customHeight="1" thickBot="1">
      <c r="B56" s="360" t="s">
        <v>116</v>
      </c>
      <c r="C56" s="364"/>
      <c r="D56" s="364"/>
      <c r="E56" s="364"/>
    </row>
    <row r="57" spans="2:5" ht="39" thickBot="1">
      <c r="B57" s="355" t="s">
        <v>42</v>
      </c>
      <c r="C57" s="356"/>
      <c r="D57" s="353" t="s">
        <v>122</v>
      </c>
      <c r="E57" s="354" t="s">
        <v>117</v>
      </c>
    </row>
    <row r="58" spans="2:5">
      <c r="B58" s="20" t="s">
        <v>18</v>
      </c>
      <c r="C58" s="126" t="s">
        <v>43</v>
      </c>
      <c r="D58" s="127">
        <f>D64</f>
        <v>0</v>
      </c>
      <c r="E58" s="31">
        <v>0</v>
      </c>
    </row>
    <row r="59" spans="2:5" ht="25.5">
      <c r="B59" s="187" t="s">
        <v>4</v>
      </c>
      <c r="C59" s="188" t="s">
        <v>44</v>
      </c>
      <c r="D59" s="80">
        <v>0</v>
      </c>
      <c r="E59" s="81">
        <v>0</v>
      </c>
    </row>
    <row r="60" spans="2:5" ht="25.5">
      <c r="B60" s="185" t="s">
        <v>6</v>
      </c>
      <c r="C60" s="186" t="s">
        <v>45</v>
      </c>
      <c r="D60" s="78">
        <v>0</v>
      </c>
      <c r="E60" s="79">
        <v>0</v>
      </c>
    </row>
    <row r="61" spans="2:5" ht="13.5" customHeight="1">
      <c r="B61" s="185" t="s">
        <v>8</v>
      </c>
      <c r="C61" s="186" t="s">
        <v>46</v>
      </c>
      <c r="D61" s="78">
        <v>0</v>
      </c>
      <c r="E61" s="79">
        <v>0</v>
      </c>
    </row>
    <row r="62" spans="2:5">
      <c r="B62" s="185" t="s">
        <v>9</v>
      </c>
      <c r="C62" s="186" t="s">
        <v>47</v>
      </c>
      <c r="D62" s="78">
        <v>0</v>
      </c>
      <c r="E62" s="79">
        <v>0</v>
      </c>
    </row>
    <row r="63" spans="2:5">
      <c r="B63" s="185" t="s">
        <v>29</v>
      </c>
      <c r="C63" s="186" t="s">
        <v>48</v>
      </c>
      <c r="D63" s="78">
        <v>0</v>
      </c>
      <c r="E63" s="79">
        <v>0</v>
      </c>
    </row>
    <row r="64" spans="2:5">
      <c r="B64" s="187" t="s">
        <v>31</v>
      </c>
      <c r="C64" s="188" t="s">
        <v>49</v>
      </c>
      <c r="D64" s="80">
        <f>E21</f>
        <v>0</v>
      </c>
      <c r="E64" s="81">
        <v>0</v>
      </c>
    </row>
    <row r="65" spans="2:5">
      <c r="B65" s="187" t="s">
        <v>33</v>
      </c>
      <c r="C65" s="188" t="s">
        <v>118</v>
      </c>
      <c r="D65" s="80">
        <v>0</v>
      </c>
      <c r="E65" s="81">
        <v>0</v>
      </c>
    </row>
    <row r="66" spans="2:5">
      <c r="B66" s="187" t="s">
        <v>50</v>
      </c>
      <c r="C66" s="188" t="s">
        <v>51</v>
      </c>
      <c r="D66" s="80">
        <v>0</v>
      </c>
      <c r="E66" s="81">
        <v>0</v>
      </c>
    </row>
    <row r="67" spans="2:5">
      <c r="B67" s="185" t="s">
        <v>52</v>
      </c>
      <c r="C67" s="186" t="s">
        <v>53</v>
      </c>
      <c r="D67" s="78">
        <v>0</v>
      </c>
      <c r="E67" s="79">
        <v>0</v>
      </c>
    </row>
    <row r="68" spans="2:5">
      <c r="B68" s="185" t="s">
        <v>54</v>
      </c>
      <c r="C68" s="186" t="s">
        <v>55</v>
      </c>
      <c r="D68" s="78">
        <v>0</v>
      </c>
      <c r="E68" s="79">
        <v>0</v>
      </c>
    </row>
    <row r="69" spans="2:5">
      <c r="B69" s="185" t="s">
        <v>56</v>
      </c>
      <c r="C69" s="186" t="s">
        <v>57</v>
      </c>
      <c r="D69" s="78">
        <v>0</v>
      </c>
      <c r="E69" s="79">
        <v>0</v>
      </c>
    </row>
    <row r="70" spans="2:5">
      <c r="B70" s="238" t="s">
        <v>58</v>
      </c>
      <c r="C70" s="237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0</v>
      </c>
      <c r="E74" s="66">
        <f>E58+E72-E73</f>
        <v>0</v>
      </c>
    </row>
    <row r="75" spans="2:5">
      <c r="B75" s="185" t="s">
        <v>4</v>
      </c>
      <c r="C75" s="186" t="s">
        <v>67</v>
      </c>
      <c r="D75" s="78">
        <f>D74</f>
        <v>0</v>
      </c>
      <c r="E75" s="79">
        <f>E74</f>
        <v>0</v>
      </c>
    </row>
    <row r="76" spans="2:5">
      <c r="B76" s="185" t="s">
        <v>6</v>
      </c>
      <c r="C76" s="186" t="s">
        <v>119</v>
      </c>
      <c r="D76" s="78">
        <v>0</v>
      </c>
      <c r="E76" s="79">
        <v>0</v>
      </c>
    </row>
    <row r="77" spans="2:5" ht="13.5" thickBot="1">
      <c r="B77" s="189" t="s">
        <v>8</v>
      </c>
      <c r="C77" s="190" t="s">
        <v>120</v>
      </c>
      <c r="D77" s="82">
        <v>0</v>
      </c>
      <c r="E77" s="83">
        <v>0</v>
      </c>
    </row>
    <row r="78" spans="2:5">
      <c r="D78" s="334"/>
      <c r="E78" s="334"/>
    </row>
    <row r="79" spans="2:5">
      <c r="D79" s="334"/>
      <c r="E79" s="334"/>
    </row>
    <row r="80" spans="2:5">
      <c r="D80" s="334"/>
      <c r="E80" s="334"/>
    </row>
    <row r="81" spans="4:5">
      <c r="D81" s="334"/>
      <c r="E81" s="334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"/>
  <dimension ref="A1:G81"/>
  <sheetViews>
    <sheetView zoomScale="80" zoomScaleNormal="80" workbookViewId="0">
      <selection activeCell="J7" sqref="J7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87"/>
      <c r="C4" s="87"/>
      <c r="D4" s="87"/>
      <c r="E4" s="87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150</v>
      </c>
      <c r="C6" s="359"/>
      <c r="D6" s="359"/>
      <c r="E6" s="359"/>
    </row>
    <row r="7" spans="2:7" ht="14.25">
      <c r="B7" s="89"/>
      <c r="C7" s="89"/>
      <c r="D7" s="89"/>
      <c r="E7" s="89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88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256033.28</v>
      </c>
      <c r="E11" s="244">
        <f>SUM(E12:E14)</f>
        <v>199542.12</v>
      </c>
    </row>
    <row r="12" spans="2:7">
      <c r="B12" s="174" t="s">
        <v>4</v>
      </c>
      <c r="C12" s="175" t="s">
        <v>5</v>
      </c>
      <c r="D12" s="283">
        <v>256033.28</v>
      </c>
      <c r="E12" s="304">
        <v>199542.12</v>
      </c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256033.28</v>
      </c>
      <c r="E21" s="148">
        <f>E11-E17</f>
        <v>199542.12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0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413343.65</v>
      </c>
      <c r="E26" s="231">
        <f>D21</f>
        <v>256033.28</v>
      </c>
    </row>
    <row r="27" spans="2:6">
      <c r="B27" s="9" t="s">
        <v>17</v>
      </c>
      <c r="C27" s="10" t="s">
        <v>111</v>
      </c>
      <c r="D27" s="202">
        <v>-132114.89000000001</v>
      </c>
      <c r="E27" s="224">
        <f>E28-E32</f>
        <v>-63093.860000000015</v>
      </c>
      <c r="F27" s="71"/>
    </row>
    <row r="28" spans="2:6">
      <c r="B28" s="9" t="s">
        <v>18</v>
      </c>
      <c r="C28" s="10" t="s">
        <v>19</v>
      </c>
      <c r="D28" s="202">
        <v>9803.1200000000008</v>
      </c>
      <c r="E28" s="225">
        <v>8944.52</v>
      </c>
      <c r="F28" s="71"/>
    </row>
    <row r="29" spans="2:6">
      <c r="B29" s="182" t="s">
        <v>4</v>
      </c>
      <c r="C29" s="175" t="s">
        <v>20</v>
      </c>
      <c r="D29" s="203">
        <v>9335.01</v>
      </c>
      <c r="E29" s="226">
        <v>8944.52</v>
      </c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>
        <v>468.11</v>
      </c>
      <c r="E31" s="226"/>
      <c r="F31" s="71"/>
    </row>
    <row r="32" spans="2:6">
      <c r="B32" s="92" t="s">
        <v>23</v>
      </c>
      <c r="C32" s="11" t="s">
        <v>24</v>
      </c>
      <c r="D32" s="202">
        <v>141918.01</v>
      </c>
      <c r="E32" s="225">
        <f>SUM(E33:E39)</f>
        <v>72038.380000000019</v>
      </c>
      <c r="F32" s="71"/>
    </row>
    <row r="33" spans="2:6">
      <c r="B33" s="182" t="s">
        <v>4</v>
      </c>
      <c r="C33" s="175" t="s">
        <v>25</v>
      </c>
      <c r="D33" s="203">
        <v>16237.099999999999</v>
      </c>
      <c r="E33" s="226">
        <f>70840.96-3144.29</f>
        <v>67696.670000000013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398.63</v>
      </c>
      <c r="E35" s="226">
        <v>367.61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5768.42</v>
      </c>
      <c r="E37" s="226">
        <v>3974.1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>
        <v>119513.86</v>
      </c>
      <c r="E39" s="227"/>
      <c r="F39" s="71"/>
    </row>
    <row r="40" spans="2:6" ht="13.5" thickBot="1">
      <c r="B40" s="97" t="s">
        <v>35</v>
      </c>
      <c r="C40" s="98" t="s">
        <v>36</v>
      </c>
      <c r="D40" s="205">
        <v>-25195.48</v>
      </c>
      <c r="E40" s="232">
        <v>6602.7</v>
      </c>
    </row>
    <row r="41" spans="2:6" ht="13.5" thickBot="1">
      <c r="B41" s="99" t="s">
        <v>37</v>
      </c>
      <c r="C41" s="100" t="s">
        <v>38</v>
      </c>
      <c r="D41" s="206">
        <v>256033.28</v>
      </c>
      <c r="E41" s="148">
        <f>E26+E27+E40</f>
        <v>199542.12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63"/>
      <c r="D43" s="363"/>
      <c r="E43" s="363"/>
    </row>
    <row r="44" spans="2:6" ht="18" customHeight="1" thickBot="1">
      <c r="B44" s="360" t="s">
        <v>121</v>
      </c>
      <c r="C44" s="364"/>
      <c r="D44" s="364"/>
      <c r="E44" s="364"/>
    </row>
    <row r="45" spans="2:6" ht="13.5" thickBot="1">
      <c r="B45" s="88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7">
        <v>3149.7649000000001</v>
      </c>
      <c r="E47" s="73">
        <v>2130.0605999999998</v>
      </c>
    </row>
    <row r="48" spans="2:6">
      <c r="B48" s="123" t="s">
        <v>6</v>
      </c>
      <c r="C48" s="22" t="s">
        <v>41</v>
      </c>
      <c r="D48" s="207">
        <v>2130.0605999999998</v>
      </c>
      <c r="E48" s="289">
        <v>1616.3801000000001</v>
      </c>
    </row>
    <row r="49" spans="2:5">
      <c r="B49" s="120" t="s">
        <v>23</v>
      </c>
      <c r="C49" s="124" t="s">
        <v>113</v>
      </c>
      <c r="D49" s="208"/>
      <c r="E49" s="75"/>
    </row>
    <row r="50" spans="2:5">
      <c r="B50" s="102" t="s">
        <v>4</v>
      </c>
      <c r="C50" s="15" t="s">
        <v>40</v>
      </c>
      <c r="D50" s="207">
        <v>131.22999999999999</v>
      </c>
      <c r="E50" s="75">
        <v>120.2</v>
      </c>
    </row>
    <row r="51" spans="2:5">
      <c r="B51" s="102" t="s">
        <v>6</v>
      </c>
      <c r="C51" s="15" t="s">
        <v>114</v>
      </c>
      <c r="D51" s="207">
        <v>119.06</v>
      </c>
      <c r="E51" s="75">
        <v>120.13</v>
      </c>
    </row>
    <row r="52" spans="2:5">
      <c r="B52" s="102" t="s">
        <v>8</v>
      </c>
      <c r="C52" s="15" t="s">
        <v>115</v>
      </c>
      <c r="D52" s="207">
        <v>134.88999999999999</v>
      </c>
      <c r="E52" s="75">
        <v>126.1</v>
      </c>
    </row>
    <row r="53" spans="2:5" ht="13.5" customHeight="1" thickBot="1">
      <c r="B53" s="103" t="s">
        <v>9</v>
      </c>
      <c r="C53" s="17" t="s">
        <v>41</v>
      </c>
      <c r="D53" s="209">
        <v>120.2</v>
      </c>
      <c r="E53" s="290">
        <v>123.45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5.7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199542.12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199542.12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199542.12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199542.12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6692913385826772" right="0.74803149606299213" top="0.55118110236220474" bottom="0.39370078740157483" header="0.51181102362204722" footer="0.51181102362204722"/>
  <pageSetup paperSize="9" scale="7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"/>
  <dimension ref="A1:F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87"/>
      <c r="C4" s="87"/>
      <c r="D4" s="87"/>
      <c r="E4" s="87"/>
    </row>
    <row r="5" spans="2:5" ht="21" customHeight="1">
      <c r="B5" s="358" t="s">
        <v>1</v>
      </c>
      <c r="C5" s="358"/>
      <c r="D5" s="358"/>
      <c r="E5" s="358"/>
    </row>
    <row r="6" spans="2:5" ht="14.25">
      <c r="B6" s="359" t="s">
        <v>151</v>
      </c>
      <c r="C6" s="359"/>
      <c r="D6" s="359"/>
      <c r="E6" s="359"/>
    </row>
    <row r="7" spans="2:5" ht="14.25">
      <c r="B7" s="89"/>
      <c r="C7" s="89"/>
      <c r="D7" s="89"/>
      <c r="E7" s="89"/>
    </row>
    <row r="8" spans="2:5" ht="13.5">
      <c r="B8" s="361" t="s">
        <v>18</v>
      </c>
      <c r="C8" s="363"/>
      <c r="D8" s="363"/>
      <c r="E8" s="363"/>
    </row>
    <row r="9" spans="2:5" ht="16.5" thickBot="1">
      <c r="B9" s="360" t="s">
        <v>103</v>
      </c>
      <c r="C9" s="360"/>
      <c r="D9" s="360"/>
      <c r="E9" s="360"/>
    </row>
    <row r="10" spans="2:5" ht="13.5" thickBot="1">
      <c r="B10" s="88"/>
      <c r="C10" s="76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28" t="s">
        <v>109</v>
      </c>
      <c r="D11" s="243">
        <v>3068149.66</v>
      </c>
      <c r="E11" s="244">
        <f>SUM(E12:E14)</f>
        <v>1613814.13</v>
      </c>
    </row>
    <row r="12" spans="2:5">
      <c r="B12" s="106" t="s">
        <v>4</v>
      </c>
      <c r="C12" s="6" t="s">
        <v>5</v>
      </c>
      <c r="D12" s="283">
        <v>3068149.66</v>
      </c>
      <c r="E12" s="304">
        <v>1613814.13</v>
      </c>
    </row>
    <row r="13" spans="2:5">
      <c r="B13" s="106" t="s">
        <v>6</v>
      </c>
      <c r="C13" s="68" t="s">
        <v>7</v>
      </c>
      <c r="D13" s="276"/>
      <c r="E13" s="305"/>
    </row>
    <row r="14" spans="2:5">
      <c r="B14" s="106" t="s">
        <v>8</v>
      </c>
      <c r="C14" s="68" t="s">
        <v>10</v>
      </c>
      <c r="D14" s="276"/>
      <c r="E14" s="305"/>
    </row>
    <row r="15" spans="2:5">
      <c r="B15" s="106" t="s">
        <v>106</v>
      </c>
      <c r="C15" s="68" t="s">
        <v>11</v>
      </c>
      <c r="D15" s="276"/>
      <c r="E15" s="305"/>
    </row>
    <row r="16" spans="2:5">
      <c r="B16" s="107" t="s">
        <v>107</v>
      </c>
      <c r="C16" s="91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06" t="s">
        <v>4</v>
      </c>
      <c r="C18" s="6" t="s">
        <v>11</v>
      </c>
      <c r="D18" s="278"/>
      <c r="E18" s="306"/>
    </row>
    <row r="19" spans="2:6" ht="15" customHeight="1">
      <c r="B19" s="106" t="s">
        <v>6</v>
      </c>
      <c r="C19" s="68" t="s">
        <v>108</v>
      </c>
      <c r="D19" s="276"/>
      <c r="E19" s="305"/>
    </row>
    <row r="20" spans="2:6" ht="13.5" thickBot="1">
      <c r="B20" s="108" t="s">
        <v>8</v>
      </c>
      <c r="C20" s="69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3068149.66</v>
      </c>
      <c r="E21" s="148">
        <f>E11-E17</f>
        <v>1613814.13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69"/>
      <c r="D23" s="369"/>
      <c r="E23" s="369"/>
    </row>
    <row r="24" spans="2:6" ht="15.75" customHeight="1" thickBot="1">
      <c r="B24" s="360" t="s">
        <v>105</v>
      </c>
      <c r="C24" s="370"/>
      <c r="D24" s="370"/>
      <c r="E24" s="370"/>
    </row>
    <row r="25" spans="2:6" ht="13.5" thickBot="1">
      <c r="B25" s="88"/>
      <c r="C25" s="5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5593319.8600000003</v>
      </c>
      <c r="E26" s="231">
        <f>D21</f>
        <v>3068149.66</v>
      </c>
    </row>
    <row r="27" spans="2:6">
      <c r="B27" s="9" t="s">
        <v>17</v>
      </c>
      <c r="C27" s="10" t="s">
        <v>111</v>
      </c>
      <c r="D27" s="202">
        <v>-2517992.19</v>
      </c>
      <c r="E27" s="224">
        <v>-1524699.22</v>
      </c>
      <c r="F27" s="71"/>
    </row>
    <row r="28" spans="2:6">
      <c r="B28" s="9" t="s">
        <v>18</v>
      </c>
      <c r="C28" s="10" t="s">
        <v>19</v>
      </c>
      <c r="D28" s="202">
        <v>248346.62</v>
      </c>
      <c r="E28" s="225">
        <v>8875.69</v>
      </c>
      <c r="F28" s="71"/>
    </row>
    <row r="29" spans="2:6">
      <c r="B29" s="104" t="s">
        <v>4</v>
      </c>
      <c r="C29" s="6" t="s">
        <v>20</v>
      </c>
      <c r="D29" s="203">
        <v>20130.43</v>
      </c>
      <c r="E29" s="226">
        <v>8875.69</v>
      </c>
      <c r="F29" s="71"/>
    </row>
    <row r="30" spans="2:6">
      <c r="B30" s="104" t="s">
        <v>6</v>
      </c>
      <c r="C30" s="6" t="s">
        <v>21</v>
      </c>
      <c r="D30" s="203"/>
      <c r="E30" s="226"/>
      <c r="F30" s="71"/>
    </row>
    <row r="31" spans="2:6">
      <c r="B31" s="104" t="s">
        <v>8</v>
      </c>
      <c r="C31" s="6" t="s">
        <v>22</v>
      </c>
      <c r="D31" s="203">
        <v>228216.19</v>
      </c>
      <c r="E31" s="226"/>
      <c r="F31" s="71"/>
    </row>
    <row r="32" spans="2:6">
      <c r="B32" s="92" t="s">
        <v>23</v>
      </c>
      <c r="C32" s="11" t="s">
        <v>24</v>
      </c>
      <c r="D32" s="202">
        <v>2766338.81</v>
      </c>
      <c r="E32" s="225">
        <v>1533574.91</v>
      </c>
      <c r="F32" s="71"/>
    </row>
    <row r="33" spans="2:6">
      <c r="B33" s="104" t="s">
        <v>4</v>
      </c>
      <c r="C33" s="6" t="s">
        <v>25</v>
      </c>
      <c r="D33" s="203">
        <v>2048472</v>
      </c>
      <c r="E33" s="226">
        <v>1488035.38</v>
      </c>
      <c r="F33" s="71"/>
    </row>
    <row r="34" spans="2:6">
      <c r="B34" s="104" t="s">
        <v>6</v>
      </c>
      <c r="C34" s="6" t="s">
        <v>26</v>
      </c>
      <c r="D34" s="203"/>
      <c r="E34" s="226"/>
      <c r="F34" s="71"/>
    </row>
    <row r="35" spans="2:6">
      <c r="B35" s="104" t="s">
        <v>8</v>
      </c>
      <c r="C35" s="6" t="s">
        <v>27</v>
      </c>
      <c r="D35" s="203">
        <v>5918.94</v>
      </c>
      <c r="E35" s="226">
        <v>4129.3900000000003</v>
      </c>
      <c r="F35" s="71"/>
    </row>
    <row r="36" spans="2:6">
      <c r="B36" s="104" t="s">
        <v>9</v>
      </c>
      <c r="C36" s="6" t="s">
        <v>28</v>
      </c>
      <c r="D36" s="203"/>
      <c r="E36" s="226"/>
      <c r="F36" s="71"/>
    </row>
    <row r="37" spans="2:6" ht="25.5">
      <c r="B37" s="104" t="s">
        <v>29</v>
      </c>
      <c r="C37" s="6" t="s">
        <v>30</v>
      </c>
      <c r="D37" s="203">
        <v>82297.440000000002</v>
      </c>
      <c r="E37" s="226">
        <v>41410.14</v>
      </c>
      <c r="F37" s="71"/>
    </row>
    <row r="38" spans="2:6">
      <c r="B38" s="104" t="s">
        <v>31</v>
      </c>
      <c r="C38" s="6" t="s">
        <v>32</v>
      </c>
      <c r="D38" s="203"/>
      <c r="E38" s="226"/>
      <c r="F38" s="71"/>
    </row>
    <row r="39" spans="2:6">
      <c r="B39" s="105" t="s">
        <v>33</v>
      </c>
      <c r="C39" s="12" t="s">
        <v>34</v>
      </c>
      <c r="D39" s="204">
        <v>629650.43000000005</v>
      </c>
      <c r="E39" s="227"/>
      <c r="F39" s="71"/>
    </row>
    <row r="40" spans="2:6" ht="13.5" thickBot="1">
      <c r="B40" s="97" t="s">
        <v>35</v>
      </c>
      <c r="C40" s="98" t="s">
        <v>36</v>
      </c>
      <c r="D40" s="205">
        <v>-7178.01</v>
      </c>
      <c r="E40" s="232">
        <v>70363.69</v>
      </c>
    </row>
    <row r="41" spans="2:6" ht="13.5" thickBot="1">
      <c r="B41" s="99" t="s">
        <v>37</v>
      </c>
      <c r="C41" s="100" t="s">
        <v>38</v>
      </c>
      <c r="D41" s="206">
        <v>3068149.6600000006</v>
      </c>
      <c r="E41" s="148">
        <f>E26+E27+E40</f>
        <v>1613814.1300000001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63"/>
      <c r="D43" s="363"/>
      <c r="E43" s="363"/>
    </row>
    <row r="44" spans="2:6" ht="18" customHeight="1" thickBot="1">
      <c r="B44" s="360" t="s">
        <v>121</v>
      </c>
      <c r="C44" s="364"/>
      <c r="D44" s="364"/>
      <c r="E44" s="364"/>
    </row>
    <row r="45" spans="2:6" ht="13.5" thickBot="1">
      <c r="B45" s="88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7">
        <v>33071.127899999999</v>
      </c>
      <c r="E47" s="149">
        <v>18157.955000000002</v>
      </c>
    </row>
    <row r="48" spans="2:6">
      <c r="B48" s="123" t="s">
        <v>6</v>
      </c>
      <c r="C48" s="22" t="s">
        <v>41</v>
      </c>
      <c r="D48" s="207">
        <v>18157.955000000002</v>
      </c>
      <c r="E48" s="291">
        <v>9303.1309999999994</v>
      </c>
    </row>
    <row r="49" spans="2:5">
      <c r="B49" s="120" t="s">
        <v>23</v>
      </c>
      <c r="C49" s="124" t="s">
        <v>113</v>
      </c>
      <c r="D49" s="208"/>
      <c r="E49" s="149"/>
    </row>
    <row r="50" spans="2:5">
      <c r="B50" s="102" t="s">
        <v>4</v>
      </c>
      <c r="C50" s="15" t="s">
        <v>40</v>
      </c>
      <c r="D50" s="207">
        <v>169.13</v>
      </c>
      <c r="E50" s="149">
        <v>168.97</v>
      </c>
    </row>
    <row r="51" spans="2:5">
      <c r="B51" s="102" t="s">
        <v>6</v>
      </c>
      <c r="C51" s="15" t="s">
        <v>114</v>
      </c>
      <c r="D51" s="207">
        <v>168.08</v>
      </c>
      <c r="E51" s="75">
        <v>168.97</v>
      </c>
    </row>
    <row r="52" spans="2:5">
      <c r="B52" s="102" t="s">
        <v>8</v>
      </c>
      <c r="C52" s="15" t="s">
        <v>115</v>
      </c>
      <c r="D52" s="207">
        <v>169.42</v>
      </c>
      <c r="E52" s="75">
        <v>173.47</v>
      </c>
    </row>
    <row r="53" spans="2:5" ht="13.5" customHeight="1" thickBot="1">
      <c r="B53" s="103" t="s">
        <v>9</v>
      </c>
      <c r="C53" s="17" t="s">
        <v>41</v>
      </c>
      <c r="D53" s="209">
        <v>168.97</v>
      </c>
      <c r="E53" s="292">
        <v>173.47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6.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1613814.13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1613814.13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1613814.13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1613814.13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62" right="0.75" top="0.6" bottom="0.56000000000000005" header="0.5" footer="0.5"/>
  <pageSetup paperSize="9" scale="70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6"/>
  <dimension ref="A1:F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87"/>
      <c r="C4" s="87"/>
      <c r="D4" s="87"/>
      <c r="E4" s="87"/>
    </row>
    <row r="5" spans="2:5" ht="21" customHeight="1">
      <c r="B5" s="358" t="s">
        <v>1</v>
      </c>
      <c r="C5" s="358"/>
      <c r="D5" s="358"/>
      <c r="E5" s="358"/>
    </row>
    <row r="6" spans="2:5" ht="14.25" customHeight="1">
      <c r="B6" s="359" t="s">
        <v>152</v>
      </c>
      <c r="C6" s="359"/>
      <c r="D6" s="359"/>
      <c r="E6" s="359"/>
    </row>
    <row r="7" spans="2:5" ht="14.25">
      <c r="B7" s="89"/>
      <c r="C7" s="89"/>
      <c r="D7" s="89"/>
      <c r="E7" s="89"/>
    </row>
    <row r="8" spans="2:5" ht="13.5" customHeight="1">
      <c r="B8" s="361" t="s">
        <v>18</v>
      </c>
      <c r="C8" s="361"/>
      <c r="D8" s="361"/>
      <c r="E8" s="361"/>
    </row>
    <row r="9" spans="2:5" ht="16.5" customHeight="1" thickBot="1">
      <c r="B9" s="360" t="s">
        <v>103</v>
      </c>
      <c r="C9" s="360"/>
      <c r="D9" s="360"/>
      <c r="E9" s="360"/>
    </row>
    <row r="10" spans="2:5" ht="13.5" thickBot="1">
      <c r="B10" s="88"/>
      <c r="C10" s="76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28" t="s">
        <v>109</v>
      </c>
      <c r="D11" s="243">
        <v>262373.64</v>
      </c>
      <c r="E11" s="244">
        <f>SUM(E12:E14)</f>
        <v>229819.14</v>
      </c>
    </row>
    <row r="12" spans="2:5">
      <c r="B12" s="174" t="s">
        <v>4</v>
      </c>
      <c r="C12" s="175" t="s">
        <v>5</v>
      </c>
      <c r="D12" s="283">
        <v>262373.64</v>
      </c>
      <c r="E12" s="304">
        <v>229819.14</v>
      </c>
    </row>
    <row r="13" spans="2:5">
      <c r="B13" s="174" t="s">
        <v>6</v>
      </c>
      <c r="C13" s="176" t="s">
        <v>7</v>
      </c>
      <c r="D13" s="276"/>
      <c r="E13" s="305"/>
    </row>
    <row r="14" spans="2:5">
      <c r="B14" s="174" t="s">
        <v>8</v>
      </c>
      <c r="C14" s="176" t="s">
        <v>10</v>
      </c>
      <c r="D14" s="276"/>
      <c r="E14" s="305"/>
    </row>
    <row r="15" spans="2:5">
      <c r="B15" s="174" t="s">
        <v>106</v>
      </c>
      <c r="C15" s="176" t="s">
        <v>11</v>
      </c>
      <c r="D15" s="276"/>
      <c r="E15" s="305"/>
    </row>
    <row r="16" spans="2:5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customHeight="1" thickBot="1">
      <c r="B21" s="365" t="s">
        <v>110</v>
      </c>
      <c r="C21" s="375"/>
      <c r="D21" s="247">
        <v>262373.64</v>
      </c>
      <c r="E21" s="148">
        <f>E11-E17</f>
        <v>229819.14</v>
      </c>
      <c r="F21" s="77"/>
    </row>
    <row r="22" spans="2:6">
      <c r="B22" s="3"/>
      <c r="C22" s="7"/>
      <c r="D22" s="8"/>
      <c r="E22" s="8"/>
    </row>
    <row r="23" spans="2:6" ht="13.5" customHeight="1">
      <c r="B23" s="361" t="s">
        <v>104</v>
      </c>
      <c r="C23" s="361"/>
      <c r="D23" s="361"/>
      <c r="E23" s="361"/>
    </row>
    <row r="24" spans="2:6" ht="15.75" customHeight="1" thickBot="1">
      <c r="B24" s="360" t="s">
        <v>105</v>
      </c>
      <c r="C24" s="360"/>
      <c r="D24" s="360"/>
      <c r="E24" s="360"/>
    </row>
    <row r="25" spans="2:6" ht="13.5" thickBot="1">
      <c r="B25" s="210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326574.09000000003</v>
      </c>
      <c r="E26" s="231">
        <f>D21</f>
        <v>262373.64</v>
      </c>
    </row>
    <row r="27" spans="2:6">
      <c r="B27" s="9" t="s">
        <v>17</v>
      </c>
      <c r="C27" s="10" t="s">
        <v>111</v>
      </c>
      <c r="D27" s="202">
        <v>-32135.510000000006</v>
      </c>
      <c r="E27" s="224">
        <v>-37012.94</v>
      </c>
      <c r="F27" s="71"/>
    </row>
    <row r="28" spans="2:6">
      <c r="B28" s="9" t="s">
        <v>18</v>
      </c>
      <c r="C28" s="10" t="s">
        <v>19</v>
      </c>
      <c r="D28" s="202">
        <v>24364.649999999998</v>
      </c>
      <c r="E28" s="225">
        <v>30207.74</v>
      </c>
      <c r="F28" s="71"/>
    </row>
    <row r="29" spans="2:6">
      <c r="B29" s="182" t="s">
        <v>4</v>
      </c>
      <c r="C29" s="175" t="s">
        <v>20</v>
      </c>
      <c r="D29" s="203">
        <v>2953.64</v>
      </c>
      <c r="E29" s="226">
        <v>2383.4</v>
      </c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>
        <v>21411.01</v>
      </c>
      <c r="E31" s="226">
        <v>27824.34</v>
      </c>
      <c r="F31" s="71"/>
    </row>
    <row r="32" spans="2:6">
      <c r="B32" s="92" t="s">
        <v>23</v>
      </c>
      <c r="C32" s="11" t="s">
        <v>24</v>
      </c>
      <c r="D32" s="202">
        <v>56500.160000000003</v>
      </c>
      <c r="E32" s="225">
        <v>67220.679999999993</v>
      </c>
      <c r="F32" s="71"/>
    </row>
    <row r="33" spans="2:6">
      <c r="B33" s="182" t="s">
        <v>4</v>
      </c>
      <c r="C33" s="175" t="s">
        <v>25</v>
      </c>
      <c r="D33" s="203">
        <v>28909</v>
      </c>
      <c r="E33" s="226">
        <v>34394.47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601.42999999999995</v>
      </c>
      <c r="E35" s="226">
        <v>589.4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5547.98</v>
      </c>
      <c r="E37" s="226">
        <v>4517.3100000000004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>
        <v>21441.75</v>
      </c>
      <c r="E39" s="227">
        <v>27719.5</v>
      </c>
      <c r="F39" s="71"/>
    </row>
    <row r="40" spans="2:6" ht="13.5" thickBot="1">
      <c r="B40" s="97" t="s">
        <v>35</v>
      </c>
      <c r="C40" s="98" t="s">
        <v>36</v>
      </c>
      <c r="D40" s="205">
        <v>-32064.94</v>
      </c>
      <c r="E40" s="232">
        <v>4458.4399999999996</v>
      </c>
    </row>
    <row r="41" spans="2:6" ht="13.5" thickBot="1">
      <c r="B41" s="99" t="s">
        <v>37</v>
      </c>
      <c r="C41" s="100" t="s">
        <v>38</v>
      </c>
      <c r="D41" s="206">
        <v>262373.64</v>
      </c>
      <c r="E41" s="148">
        <f>E26+E27+E40</f>
        <v>229819.14</v>
      </c>
      <c r="F41" s="77"/>
    </row>
    <row r="42" spans="2:6">
      <c r="B42" s="93"/>
      <c r="C42" s="93"/>
      <c r="D42" s="94"/>
      <c r="E42" s="94"/>
      <c r="F42" s="77"/>
    </row>
    <row r="43" spans="2:6" ht="13.5" customHeight="1">
      <c r="B43" s="362" t="s">
        <v>60</v>
      </c>
      <c r="C43" s="362"/>
      <c r="D43" s="362"/>
      <c r="E43" s="362"/>
    </row>
    <row r="44" spans="2:6" ht="18" customHeight="1" thickBot="1">
      <c r="B44" s="360" t="s">
        <v>121</v>
      </c>
      <c r="C44" s="360"/>
      <c r="D44" s="360"/>
      <c r="E44" s="360"/>
    </row>
    <row r="45" spans="2:6" ht="13.5" thickBot="1">
      <c r="B45" s="88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217"/>
      <c r="E46" s="28"/>
    </row>
    <row r="47" spans="2:6">
      <c r="B47" s="102" t="s">
        <v>4</v>
      </c>
      <c r="C47" s="15" t="s">
        <v>40</v>
      </c>
      <c r="D47" s="207">
        <v>3113.1943999999999</v>
      </c>
      <c r="E47" s="235">
        <v>2799.8467999999998</v>
      </c>
    </row>
    <row r="48" spans="2:6">
      <c r="B48" s="123" t="s">
        <v>6</v>
      </c>
      <c r="C48" s="22" t="s">
        <v>41</v>
      </c>
      <c r="D48" s="207">
        <v>2799.8467999999998</v>
      </c>
      <c r="E48" s="293">
        <v>2411.7865000000002</v>
      </c>
    </row>
    <row r="49" spans="2:5">
      <c r="B49" s="120" t="s">
        <v>23</v>
      </c>
      <c r="C49" s="124" t="s">
        <v>113</v>
      </c>
      <c r="D49" s="208"/>
      <c r="E49" s="236"/>
    </row>
    <row r="50" spans="2:5">
      <c r="B50" s="102" t="s">
        <v>4</v>
      </c>
      <c r="C50" s="15" t="s">
        <v>40</v>
      </c>
      <c r="D50" s="207">
        <v>104.9</v>
      </c>
      <c r="E50" s="236">
        <v>93.71</v>
      </c>
    </row>
    <row r="51" spans="2:5">
      <c r="B51" s="102" t="s">
        <v>6</v>
      </c>
      <c r="C51" s="15" t="s">
        <v>114</v>
      </c>
      <c r="D51" s="207">
        <v>93.17</v>
      </c>
      <c r="E51" s="236">
        <v>92.4</v>
      </c>
    </row>
    <row r="52" spans="2:5">
      <c r="B52" s="102" t="s">
        <v>8</v>
      </c>
      <c r="C52" s="15" t="s">
        <v>115</v>
      </c>
      <c r="D52" s="207">
        <v>108.51</v>
      </c>
      <c r="E52" s="236">
        <v>101.12</v>
      </c>
    </row>
    <row r="53" spans="2:5" ht="12.75" customHeight="1" thickBot="1">
      <c r="B53" s="103" t="s">
        <v>9</v>
      </c>
      <c r="C53" s="17" t="s">
        <v>41</v>
      </c>
      <c r="D53" s="209">
        <v>93.71</v>
      </c>
      <c r="E53" s="292">
        <v>95.29</v>
      </c>
    </row>
    <row r="54" spans="2:5">
      <c r="B54" s="109"/>
      <c r="C54" s="110"/>
      <c r="D54" s="111"/>
      <c r="E54" s="111"/>
    </row>
    <row r="55" spans="2:5" ht="13.5" customHeight="1">
      <c r="B55" s="362" t="s">
        <v>62</v>
      </c>
      <c r="C55" s="362"/>
      <c r="D55" s="362"/>
      <c r="E55" s="362"/>
    </row>
    <row r="56" spans="2:5" ht="14.25" customHeight="1" thickBot="1">
      <c r="B56" s="360" t="s">
        <v>116</v>
      </c>
      <c r="C56" s="360"/>
      <c r="D56" s="360"/>
      <c r="E56" s="360"/>
    </row>
    <row r="57" spans="2:5" ht="23.25" customHeight="1" thickBot="1">
      <c r="B57" s="376" t="s">
        <v>42</v>
      </c>
      <c r="C57" s="377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229819.14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229819.14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229819.14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229819.14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6999999999999995" right="0.75" top="0.62" bottom="0.5" header="0.5" footer="0.5"/>
  <pageSetup paperSize="9" scale="70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7"/>
  <dimension ref="A1:L81"/>
  <sheetViews>
    <sheetView zoomScale="80" zoomScaleNormal="80" workbookViewId="0">
      <selection activeCell="G1" sqref="G1:M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7.28515625" customWidth="1"/>
    <col min="8" max="8" width="21.140625" customWidth="1"/>
    <col min="9" max="9" width="13.28515625" customWidth="1"/>
    <col min="10" max="10" width="13.5703125" customWidth="1"/>
    <col min="11" max="11" width="13.28515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57" t="s">
        <v>0</v>
      </c>
      <c r="C2" s="357"/>
      <c r="D2" s="357"/>
      <c r="E2" s="357"/>
      <c r="L2" s="71"/>
    </row>
    <row r="3" spans="2:12" ht="15.75">
      <c r="B3" s="357" t="s">
        <v>267</v>
      </c>
      <c r="C3" s="357"/>
      <c r="D3" s="357"/>
      <c r="E3" s="357"/>
    </row>
    <row r="4" spans="2:12" ht="15">
      <c r="B4" s="87"/>
      <c r="C4" s="87"/>
      <c r="D4" s="87"/>
      <c r="E4" s="87"/>
    </row>
    <row r="5" spans="2:12" ht="21" customHeight="1">
      <c r="B5" s="358" t="s">
        <v>1</v>
      </c>
      <c r="C5" s="358"/>
      <c r="D5" s="358"/>
      <c r="E5" s="358"/>
    </row>
    <row r="6" spans="2:12" ht="14.25">
      <c r="B6" s="359" t="s">
        <v>153</v>
      </c>
      <c r="C6" s="359"/>
      <c r="D6" s="359"/>
      <c r="E6" s="359"/>
    </row>
    <row r="7" spans="2:12" ht="14.25">
      <c r="B7" s="89"/>
      <c r="C7" s="89"/>
      <c r="D7" s="89"/>
      <c r="E7" s="89"/>
    </row>
    <row r="8" spans="2:12" ht="13.5">
      <c r="B8" s="361" t="s">
        <v>18</v>
      </c>
      <c r="C8" s="363"/>
      <c r="D8" s="363"/>
      <c r="E8" s="363"/>
    </row>
    <row r="9" spans="2:12" ht="16.5" thickBot="1">
      <c r="B9" s="360" t="s">
        <v>103</v>
      </c>
      <c r="C9" s="360"/>
      <c r="D9" s="360"/>
      <c r="E9" s="360"/>
    </row>
    <row r="10" spans="2:12" ht="13.5" thickBot="1">
      <c r="B10" s="88"/>
      <c r="C10" s="76" t="s">
        <v>2</v>
      </c>
      <c r="D10" s="70" t="s">
        <v>125</v>
      </c>
      <c r="E10" s="319" t="s">
        <v>268</v>
      </c>
    </row>
    <row r="11" spans="2:12">
      <c r="B11" s="90" t="s">
        <v>3</v>
      </c>
      <c r="C11" s="128" t="s">
        <v>109</v>
      </c>
      <c r="D11" s="243">
        <v>411843.35</v>
      </c>
      <c r="E11" s="244">
        <f>SUM(E12:E14)</f>
        <v>273163.09999999998</v>
      </c>
    </row>
    <row r="12" spans="2:12">
      <c r="B12" s="106" t="s">
        <v>4</v>
      </c>
      <c r="C12" s="6" t="s">
        <v>5</v>
      </c>
      <c r="D12" s="283">
        <v>411843.35</v>
      </c>
      <c r="E12" s="304">
        <v>273163.09999999998</v>
      </c>
    </row>
    <row r="13" spans="2:12">
      <c r="B13" s="106" t="s">
        <v>6</v>
      </c>
      <c r="C13" s="68" t="s">
        <v>7</v>
      </c>
      <c r="D13" s="276"/>
      <c r="E13" s="305"/>
    </row>
    <row r="14" spans="2:12">
      <c r="B14" s="106" t="s">
        <v>8</v>
      </c>
      <c r="C14" s="68" t="s">
        <v>10</v>
      </c>
      <c r="D14" s="276"/>
      <c r="E14" s="305"/>
      <c r="G14" s="67"/>
    </row>
    <row r="15" spans="2:12">
      <c r="B15" s="106" t="s">
        <v>106</v>
      </c>
      <c r="C15" s="68" t="s">
        <v>11</v>
      </c>
      <c r="D15" s="276"/>
      <c r="E15" s="305"/>
    </row>
    <row r="16" spans="2:12">
      <c r="B16" s="107" t="s">
        <v>107</v>
      </c>
      <c r="C16" s="91" t="s">
        <v>12</v>
      </c>
      <c r="D16" s="278"/>
      <c r="E16" s="306"/>
    </row>
    <row r="17" spans="2:12">
      <c r="B17" s="9" t="s">
        <v>13</v>
      </c>
      <c r="C17" s="11" t="s">
        <v>65</v>
      </c>
      <c r="D17" s="279"/>
      <c r="E17" s="307"/>
    </row>
    <row r="18" spans="2:12">
      <c r="B18" s="106" t="s">
        <v>4</v>
      </c>
      <c r="C18" s="6" t="s">
        <v>11</v>
      </c>
      <c r="D18" s="278"/>
      <c r="E18" s="306"/>
    </row>
    <row r="19" spans="2:12" ht="15" customHeight="1">
      <c r="B19" s="106" t="s">
        <v>6</v>
      </c>
      <c r="C19" s="68" t="s">
        <v>108</v>
      </c>
      <c r="D19" s="276"/>
      <c r="E19" s="305"/>
    </row>
    <row r="20" spans="2:12" ht="13.5" thickBot="1">
      <c r="B20" s="108" t="s">
        <v>8</v>
      </c>
      <c r="C20" s="69" t="s">
        <v>14</v>
      </c>
      <c r="D20" s="245"/>
      <c r="E20" s="246"/>
    </row>
    <row r="21" spans="2:12" ht="13.5" thickBot="1">
      <c r="B21" s="367" t="s">
        <v>110</v>
      </c>
      <c r="C21" s="368"/>
      <c r="D21" s="247">
        <v>411843.35</v>
      </c>
      <c r="E21" s="148">
        <f>E11-E17</f>
        <v>273163.09999999998</v>
      </c>
      <c r="F21" s="77"/>
      <c r="G21" s="77"/>
      <c r="H21" s="164"/>
      <c r="J21" s="219"/>
      <c r="K21" s="67"/>
      <c r="L21" s="173"/>
    </row>
    <row r="22" spans="2:12">
      <c r="B22" s="3"/>
      <c r="C22" s="7"/>
      <c r="D22" s="8"/>
      <c r="E22" s="8"/>
      <c r="G22" s="71"/>
    </row>
    <row r="23" spans="2:12" ht="13.5">
      <c r="B23" s="361" t="s">
        <v>104</v>
      </c>
      <c r="C23" s="369"/>
      <c r="D23" s="369"/>
      <c r="E23" s="369"/>
      <c r="G23" s="71"/>
    </row>
    <row r="24" spans="2:12" ht="15.75" customHeight="1" thickBot="1">
      <c r="B24" s="360" t="s">
        <v>105</v>
      </c>
      <c r="C24" s="370"/>
      <c r="D24" s="370"/>
      <c r="E24" s="370"/>
    </row>
    <row r="25" spans="2:12" ht="13.5" thickBot="1">
      <c r="B25" s="88"/>
      <c r="C25" s="5" t="s">
        <v>2</v>
      </c>
      <c r="D25" s="70" t="s">
        <v>125</v>
      </c>
      <c r="E25" s="319" t="s">
        <v>268</v>
      </c>
    </row>
    <row r="26" spans="2:12">
      <c r="B26" s="95" t="s">
        <v>15</v>
      </c>
      <c r="C26" s="96" t="s">
        <v>16</v>
      </c>
      <c r="D26" s="201">
        <v>784800.99</v>
      </c>
      <c r="E26" s="231">
        <f>D21</f>
        <v>411843.35</v>
      </c>
      <c r="G26" s="74"/>
    </row>
    <row r="27" spans="2:12">
      <c r="B27" s="9" t="s">
        <v>17</v>
      </c>
      <c r="C27" s="10" t="s">
        <v>111</v>
      </c>
      <c r="D27" s="202">
        <v>-278707.27</v>
      </c>
      <c r="E27" s="224">
        <v>-153178.04999999999</v>
      </c>
      <c r="F27" s="71"/>
      <c r="G27" s="311"/>
      <c r="H27" s="309"/>
      <c r="I27" s="71"/>
      <c r="J27" s="74"/>
    </row>
    <row r="28" spans="2:12">
      <c r="B28" s="9" t="s">
        <v>18</v>
      </c>
      <c r="C28" s="10" t="s">
        <v>19</v>
      </c>
      <c r="D28" s="202">
        <v>141092.54999999999</v>
      </c>
      <c r="E28" s="225">
        <v>35947.75</v>
      </c>
      <c r="F28" s="71"/>
      <c r="G28" s="309"/>
      <c r="H28" s="309"/>
      <c r="I28" s="71"/>
      <c r="J28" s="74"/>
    </row>
    <row r="29" spans="2:12">
      <c r="B29" s="104" t="s">
        <v>4</v>
      </c>
      <c r="C29" s="6" t="s">
        <v>20</v>
      </c>
      <c r="D29" s="203">
        <v>8867.08</v>
      </c>
      <c r="E29" s="226">
        <v>6664.35</v>
      </c>
      <c r="F29" s="71"/>
      <c r="G29" s="309"/>
      <c r="H29" s="309"/>
      <c r="I29" s="71"/>
      <c r="J29" s="74"/>
    </row>
    <row r="30" spans="2:12">
      <c r="B30" s="104" t="s">
        <v>6</v>
      </c>
      <c r="C30" s="6" t="s">
        <v>21</v>
      </c>
      <c r="D30" s="203"/>
      <c r="E30" s="226"/>
      <c r="F30" s="71"/>
      <c r="G30" s="309"/>
      <c r="H30" s="309"/>
      <c r="I30" s="71"/>
      <c r="J30" s="74"/>
    </row>
    <row r="31" spans="2:12">
      <c r="B31" s="104" t="s">
        <v>8</v>
      </c>
      <c r="C31" s="6" t="s">
        <v>22</v>
      </c>
      <c r="D31" s="203">
        <v>132225.47</v>
      </c>
      <c r="E31" s="226">
        <v>29283.4</v>
      </c>
      <c r="F31" s="71"/>
      <c r="G31" s="309"/>
      <c r="H31" s="309"/>
      <c r="I31" s="71"/>
      <c r="J31" s="74"/>
    </row>
    <row r="32" spans="2:12">
      <c r="B32" s="92" t="s">
        <v>23</v>
      </c>
      <c r="C32" s="11" t="s">
        <v>24</v>
      </c>
      <c r="D32" s="202">
        <v>419799.82</v>
      </c>
      <c r="E32" s="225">
        <v>189125.8</v>
      </c>
      <c r="F32" s="71"/>
      <c r="G32" s="311"/>
      <c r="H32" s="309"/>
      <c r="I32" s="71"/>
      <c r="J32" s="74"/>
    </row>
    <row r="33" spans="2:10">
      <c r="B33" s="104" t="s">
        <v>4</v>
      </c>
      <c r="C33" s="6" t="s">
        <v>25</v>
      </c>
      <c r="D33" s="203">
        <v>90517.43</v>
      </c>
      <c r="E33" s="226">
        <v>150367.82</v>
      </c>
      <c r="F33" s="71"/>
      <c r="G33" s="309"/>
      <c r="H33" s="309"/>
      <c r="I33" s="71"/>
      <c r="J33" s="74"/>
    </row>
    <row r="34" spans="2:10">
      <c r="B34" s="104" t="s">
        <v>6</v>
      </c>
      <c r="C34" s="6" t="s">
        <v>26</v>
      </c>
      <c r="D34" s="203"/>
      <c r="E34" s="226"/>
      <c r="F34" s="71"/>
      <c r="G34" s="309"/>
      <c r="H34" s="309"/>
      <c r="I34" s="71"/>
      <c r="J34" s="74"/>
    </row>
    <row r="35" spans="2:10">
      <c r="B35" s="104" t="s">
        <v>8</v>
      </c>
      <c r="C35" s="6" t="s">
        <v>27</v>
      </c>
      <c r="D35" s="203">
        <v>302.52</v>
      </c>
      <c r="E35" s="226">
        <v>273.08999999999997</v>
      </c>
      <c r="F35" s="71"/>
      <c r="G35" s="309"/>
      <c r="H35" s="309"/>
      <c r="I35" s="71"/>
      <c r="J35" s="74"/>
    </row>
    <row r="36" spans="2:10">
      <c r="B36" s="104" t="s">
        <v>9</v>
      </c>
      <c r="C36" s="6" t="s">
        <v>28</v>
      </c>
      <c r="D36" s="203"/>
      <c r="E36" s="226"/>
      <c r="F36" s="71"/>
      <c r="G36" s="309"/>
      <c r="H36" s="309"/>
      <c r="I36" s="71"/>
      <c r="J36" s="74"/>
    </row>
    <row r="37" spans="2:10" ht="25.5">
      <c r="B37" s="104" t="s">
        <v>29</v>
      </c>
      <c r="C37" s="6" t="s">
        <v>30</v>
      </c>
      <c r="D37" s="203">
        <v>8939.5</v>
      </c>
      <c r="E37" s="226">
        <v>6392.66</v>
      </c>
      <c r="F37" s="71"/>
      <c r="G37" s="309"/>
      <c r="H37" s="309"/>
      <c r="I37" s="71"/>
      <c r="J37" s="74"/>
    </row>
    <row r="38" spans="2:10">
      <c r="B38" s="104" t="s">
        <v>31</v>
      </c>
      <c r="C38" s="6" t="s">
        <v>32</v>
      </c>
      <c r="D38" s="203"/>
      <c r="E38" s="226"/>
      <c r="F38" s="71"/>
      <c r="G38" s="309"/>
      <c r="H38" s="309"/>
      <c r="I38" s="71"/>
      <c r="J38" s="74"/>
    </row>
    <row r="39" spans="2:10">
      <c r="B39" s="105" t="s">
        <v>33</v>
      </c>
      <c r="C39" s="12" t="s">
        <v>34</v>
      </c>
      <c r="D39" s="204">
        <v>320040.37</v>
      </c>
      <c r="E39" s="227">
        <v>32092.23</v>
      </c>
      <c r="F39" s="71"/>
      <c r="G39" s="309"/>
      <c r="H39" s="309"/>
      <c r="I39" s="71"/>
      <c r="J39" s="74"/>
    </row>
    <row r="40" spans="2:10" ht="13.5" thickBot="1">
      <c r="B40" s="97" t="s">
        <v>35</v>
      </c>
      <c r="C40" s="98" t="s">
        <v>36</v>
      </c>
      <c r="D40" s="205">
        <v>-94250.37</v>
      </c>
      <c r="E40" s="232">
        <v>14497.8</v>
      </c>
      <c r="G40" s="74"/>
    </row>
    <row r="41" spans="2:10" ht="13.5" thickBot="1">
      <c r="B41" s="99" t="s">
        <v>37</v>
      </c>
      <c r="C41" s="100" t="s">
        <v>38</v>
      </c>
      <c r="D41" s="206">
        <v>411843.35</v>
      </c>
      <c r="E41" s="148">
        <f>E26+E27+E40</f>
        <v>273163.09999999998</v>
      </c>
      <c r="F41" s="77"/>
      <c r="G41" s="74"/>
    </row>
    <row r="42" spans="2:10">
      <c r="B42" s="93"/>
      <c r="C42" s="93"/>
      <c r="D42" s="94"/>
      <c r="E42" s="94"/>
      <c r="F42" s="77"/>
      <c r="G42" s="67"/>
    </row>
    <row r="43" spans="2:10" ht="13.5">
      <c r="B43" s="362" t="s">
        <v>60</v>
      </c>
      <c r="C43" s="363"/>
      <c r="D43" s="363"/>
      <c r="E43" s="363"/>
      <c r="G43" s="71"/>
    </row>
    <row r="44" spans="2:10" ht="18" customHeight="1" thickBot="1">
      <c r="B44" s="360" t="s">
        <v>121</v>
      </c>
      <c r="C44" s="364"/>
      <c r="D44" s="364"/>
      <c r="E44" s="364"/>
      <c r="G44" s="71"/>
    </row>
    <row r="45" spans="2:10" ht="13.5" thickBot="1">
      <c r="B45" s="88"/>
      <c r="C45" s="29" t="s">
        <v>39</v>
      </c>
      <c r="D45" s="70" t="s">
        <v>125</v>
      </c>
      <c r="E45" s="319" t="s">
        <v>268</v>
      </c>
      <c r="G45" s="71"/>
    </row>
    <row r="46" spans="2:10">
      <c r="B46" s="13" t="s">
        <v>18</v>
      </c>
      <c r="C46" s="30" t="s">
        <v>112</v>
      </c>
      <c r="D46" s="101"/>
      <c r="E46" s="28"/>
      <c r="G46" s="71"/>
    </row>
    <row r="47" spans="2:10">
      <c r="B47" s="102" t="s">
        <v>4</v>
      </c>
      <c r="C47" s="15" t="s">
        <v>40</v>
      </c>
      <c r="D47" s="207">
        <v>5562.4139999999998</v>
      </c>
      <c r="E47" s="149">
        <v>3541.8245000000002</v>
      </c>
      <c r="G47" s="71"/>
    </row>
    <row r="48" spans="2:10">
      <c r="B48" s="123" t="s">
        <v>6</v>
      </c>
      <c r="C48" s="22" t="s">
        <v>41</v>
      </c>
      <c r="D48" s="207">
        <v>3541.8245000000002</v>
      </c>
      <c r="E48" s="291">
        <v>2241.0623999999998</v>
      </c>
      <c r="G48" s="71"/>
    </row>
    <row r="49" spans="2:7">
      <c r="B49" s="120" t="s">
        <v>23</v>
      </c>
      <c r="C49" s="124" t="s">
        <v>113</v>
      </c>
      <c r="D49" s="208"/>
      <c r="E49" s="149"/>
    </row>
    <row r="50" spans="2:7">
      <c r="B50" s="102" t="s">
        <v>4</v>
      </c>
      <c r="C50" s="15" t="s">
        <v>40</v>
      </c>
      <c r="D50" s="207">
        <v>141.09</v>
      </c>
      <c r="E50" s="149">
        <v>116.28</v>
      </c>
      <c r="G50" s="173"/>
    </row>
    <row r="51" spans="2:7">
      <c r="B51" s="102" t="s">
        <v>6</v>
      </c>
      <c r="C51" s="15" t="s">
        <v>114</v>
      </c>
      <c r="D51" s="207">
        <v>115.6</v>
      </c>
      <c r="E51" s="75">
        <v>112.85</v>
      </c>
      <c r="G51" s="173"/>
    </row>
    <row r="52" spans="2:7">
      <c r="B52" s="102" t="s">
        <v>8</v>
      </c>
      <c r="C52" s="15" t="s">
        <v>115</v>
      </c>
      <c r="D52" s="207">
        <v>145.88999999999999</v>
      </c>
      <c r="E52" s="75">
        <v>129.75</v>
      </c>
    </row>
    <row r="53" spans="2:7" ht="13.5" customHeight="1" thickBot="1">
      <c r="B53" s="103" t="s">
        <v>9</v>
      </c>
      <c r="C53" s="17" t="s">
        <v>41</v>
      </c>
      <c r="D53" s="209">
        <v>116.28</v>
      </c>
      <c r="E53" s="292">
        <v>121.89</v>
      </c>
    </row>
    <row r="54" spans="2:7">
      <c r="B54" s="109"/>
      <c r="C54" s="110"/>
      <c r="D54" s="111"/>
      <c r="E54" s="111"/>
    </row>
    <row r="55" spans="2:7" ht="13.5">
      <c r="B55" s="362" t="s">
        <v>62</v>
      </c>
      <c r="C55" s="363"/>
      <c r="D55" s="363"/>
      <c r="E55" s="363"/>
    </row>
    <row r="56" spans="2:7" ht="16.5" customHeight="1" thickBot="1">
      <c r="B56" s="360" t="s">
        <v>116</v>
      </c>
      <c r="C56" s="364"/>
      <c r="D56" s="364"/>
      <c r="E56" s="364"/>
    </row>
    <row r="57" spans="2:7" ht="23.25" thickBot="1">
      <c r="B57" s="355" t="s">
        <v>42</v>
      </c>
      <c r="C57" s="356"/>
      <c r="D57" s="18" t="s">
        <v>122</v>
      </c>
      <c r="E57" s="19" t="s">
        <v>117</v>
      </c>
    </row>
    <row r="58" spans="2:7">
      <c r="B58" s="20" t="s">
        <v>18</v>
      </c>
      <c r="C58" s="126" t="s">
        <v>43</v>
      </c>
      <c r="D58" s="127">
        <f>D64</f>
        <v>273163.09999999998</v>
      </c>
      <c r="E58" s="31">
        <f>D58/E21</f>
        <v>1</v>
      </c>
    </row>
    <row r="59" spans="2:7" ht="25.5">
      <c r="B59" s="123" t="s">
        <v>4</v>
      </c>
      <c r="C59" s="22" t="s">
        <v>44</v>
      </c>
      <c r="D59" s="80">
        <v>0</v>
      </c>
      <c r="E59" s="81">
        <v>0</v>
      </c>
    </row>
    <row r="60" spans="2:7" ht="25.5">
      <c r="B60" s="102" t="s">
        <v>6</v>
      </c>
      <c r="C60" s="15" t="s">
        <v>45</v>
      </c>
      <c r="D60" s="78">
        <v>0</v>
      </c>
      <c r="E60" s="79">
        <v>0</v>
      </c>
    </row>
    <row r="61" spans="2:7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7">
      <c r="B62" s="102" t="s">
        <v>9</v>
      </c>
      <c r="C62" s="15" t="s">
        <v>47</v>
      </c>
      <c r="D62" s="78">
        <v>0</v>
      </c>
      <c r="E62" s="79">
        <v>0</v>
      </c>
    </row>
    <row r="63" spans="2:7">
      <c r="B63" s="102" t="s">
        <v>29</v>
      </c>
      <c r="C63" s="15" t="s">
        <v>48</v>
      </c>
      <c r="D63" s="78">
        <v>0</v>
      </c>
      <c r="E63" s="79">
        <v>0</v>
      </c>
    </row>
    <row r="64" spans="2:7">
      <c r="B64" s="123" t="s">
        <v>31</v>
      </c>
      <c r="C64" s="22" t="s">
        <v>49</v>
      </c>
      <c r="D64" s="80">
        <f>E21</f>
        <v>273163.09999999998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273163.09999999998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273163.09999999998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5000000000000004" right="0.75" top="0.59" bottom="0.4" header="0.5" footer="0.5"/>
  <pageSetup paperSize="9" scale="70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"/>
  <dimension ref="A1:F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87"/>
      <c r="C4" s="87"/>
      <c r="D4" s="87"/>
      <c r="E4" s="87"/>
    </row>
    <row r="5" spans="2:5" ht="21" customHeight="1">
      <c r="B5" s="358" t="s">
        <v>1</v>
      </c>
      <c r="C5" s="358"/>
      <c r="D5" s="358"/>
      <c r="E5" s="358"/>
    </row>
    <row r="6" spans="2:5" ht="14.25">
      <c r="B6" s="359" t="s">
        <v>154</v>
      </c>
      <c r="C6" s="359"/>
      <c r="D6" s="359"/>
      <c r="E6" s="359"/>
    </row>
    <row r="7" spans="2:5" ht="14.25">
      <c r="B7" s="89"/>
      <c r="C7" s="89"/>
      <c r="D7" s="89"/>
      <c r="E7" s="89"/>
    </row>
    <row r="8" spans="2:5" ht="13.5">
      <c r="B8" s="361" t="s">
        <v>18</v>
      </c>
      <c r="C8" s="363"/>
      <c r="D8" s="363"/>
      <c r="E8" s="363"/>
    </row>
    <row r="9" spans="2:5" ht="16.5" thickBot="1">
      <c r="B9" s="360" t="s">
        <v>103</v>
      </c>
      <c r="C9" s="360"/>
      <c r="D9" s="360"/>
      <c r="E9" s="360"/>
    </row>
    <row r="10" spans="2:5" ht="13.5" thickBot="1">
      <c r="B10" s="88"/>
      <c r="C10" s="76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28" t="s">
        <v>109</v>
      </c>
      <c r="D11" s="243">
        <v>8316305.7400000002</v>
      </c>
      <c r="E11" s="244">
        <f>SUM(E12:E14)</f>
        <v>6167157.0300000003</v>
      </c>
    </row>
    <row r="12" spans="2:5">
      <c r="B12" s="174" t="s">
        <v>4</v>
      </c>
      <c r="C12" s="175" t="s">
        <v>5</v>
      </c>
      <c r="D12" s="283">
        <v>8316305.7400000002</v>
      </c>
      <c r="E12" s="304">
        <v>6167157.0300000003</v>
      </c>
    </row>
    <row r="13" spans="2:5">
      <c r="B13" s="174" t="s">
        <v>6</v>
      </c>
      <c r="C13" s="176" t="s">
        <v>7</v>
      </c>
      <c r="D13" s="276"/>
      <c r="E13" s="305"/>
    </row>
    <row r="14" spans="2:5">
      <c r="B14" s="174" t="s">
        <v>8</v>
      </c>
      <c r="C14" s="176" t="s">
        <v>10</v>
      </c>
      <c r="D14" s="276"/>
      <c r="E14" s="305"/>
    </row>
    <row r="15" spans="2:5">
      <c r="B15" s="174" t="s">
        <v>106</v>
      </c>
      <c r="C15" s="176" t="s">
        <v>11</v>
      </c>
      <c r="D15" s="276"/>
      <c r="E15" s="305"/>
    </row>
    <row r="16" spans="2:5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8316305.7400000002</v>
      </c>
      <c r="E21" s="148">
        <f>E11-E17</f>
        <v>6167157.0300000003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0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16650722.060000001</v>
      </c>
      <c r="E26" s="231">
        <f>D21</f>
        <v>8316305.7400000002</v>
      </c>
    </row>
    <row r="27" spans="2:6">
      <c r="B27" s="9" t="s">
        <v>17</v>
      </c>
      <c r="C27" s="10" t="s">
        <v>111</v>
      </c>
      <c r="D27" s="202">
        <v>-8350410.830000001</v>
      </c>
      <c r="E27" s="224">
        <v>-2293647.2200000002</v>
      </c>
      <c r="F27" s="71"/>
    </row>
    <row r="28" spans="2:6">
      <c r="B28" s="9" t="s">
        <v>18</v>
      </c>
      <c r="C28" s="10" t="s">
        <v>19</v>
      </c>
      <c r="D28" s="202">
        <v>766239.22000000009</v>
      </c>
      <c r="E28" s="225">
        <v>34854.65</v>
      </c>
      <c r="F28" s="71"/>
    </row>
    <row r="29" spans="2:6">
      <c r="B29" s="182" t="s">
        <v>4</v>
      </c>
      <c r="C29" s="175" t="s">
        <v>20</v>
      </c>
      <c r="D29" s="203">
        <v>21835.29</v>
      </c>
      <c r="E29" s="226">
        <v>25277.55</v>
      </c>
      <c r="F29" s="71"/>
    </row>
    <row r="30" spans="2:6">
      <c r="B30" s="182" t="s">
        <v>6</v>
      </c>
      <c r="C30" s="175" t="s">
        <v>21</v>
      </c>
      <c r="D30" s="203">
        <v>0</v>
      </c>
      <c r="E30" s="226"/>
      <c r="F30" s="71"/>
    </row>
    <row r="31" spans="2:6">
      <c r="B31" s="182" t="s">
        <v>8</v>
      </c>
      <c r="C31" s="175" t="s">
        <v>22</v>
      </c>
      <c r="D31" s="203">
        <v>744403.93</v>
      </c>
      <c r="E31" s="226">
        <v>9577.1</v>
      </c>
      <c r="F31" s="71"/>
    </row>
    <row r="32" spans="2:6">
      <c r="B32" s="92" t="s">
        <v>23</v>
      </c>
      <c r="C32" s="11" t="s">
        <v>24</v>
      </c>
      <c r="D32" s="202">
        <v>9116650.0500000007</v>
      </c>
      <c r="E32" s="225">
        <v>2328501.8700000006</v>
      </c>
      <c r="F32" s="71"/>
    </row>
    <row r="33" spans="2:6">
      <c r="B33" s="182" t="s">
        <v>4</v>
      </c>
      <c r="C33" s="175" t="s">
        <v>25</v>
      </c>
      <c r="D33" s="203">
        <v>8574183</v>
      </c>
      <c r="E33" s="226">
        <v>2194152.2200000002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17239.46</v>
      </c>
      <c r="E35" s="226">
        <v>16807.47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219549.77</v>
      </c>
      <c r="E37" s="226">
        <v>117542.18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>
        <v>305677.82</v>
      </c>
      <c r="E39" s="227"/>
      <c r="F39" s="71"/>
    </row>
    <row r="40" spans="2:6" ht="13.5" thickBot="1">
      <c r="B40" s="97" t="s">
        <v>35</v>
      </c>
      <c r="C40" s="98" t="s">
        <v>36</v>
      </c>
      <c r="D40" s="205">
        <v>15994.51</v>
      </c>
      <c r="E40" s="232">
        <v>144498.51</v>
      </c>
    </row>
    <row r="41" spans="2:6" ht="13.5" thickBot="1">
      <c r="B41" s="99" t="s">
        <v>37</v>
      </c>
      <c r="C41" s="100" t="s">
        <v>38</v>
      </c>
      <c r="D41" s="206">
        <v>8316305.7399999993</v>
      </c>
      <c r="E41" s="148">
        <f>E26+E27+E40</f>
        <v>6167157.0299999993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63"/>
      <c r="D43" s="363"/>
      <c r="E43" s="363"/>
    </row>
    <row r="44" spans="2:6" ht="18" customHeight="1" thickBot="1">
      <c r="B44" s="360" t="s">
        <v>121</v>
      </c>
      <c r="C44" s="364"/>
      <c r="D44" s="364"/>
      <c r="E44" s="364"/>
    </row>
    <row r="45" spans="2:6" ht="13.5" thickBot="1">
      <c r="B45" s="88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7">
        <v>107625.3769</v>
      </c>
      <c r="E47" s="149">
        <v>53663.972000000002</v>
      </c>
    </row>
    <row r="48" spans="2:6">
      <c r="B48" s="123" t="s">
        <v>6</v>
      </c>
      <c r="C48" s="22" t="s">
        <v>41</v>
      </c>
      <c r="D48" s="207">
        <v>53663.972000000002</v>
      </c>
      <c r="E48" s="291">
        <v>39003.016900000002</v>
      </c>
    </row>
    <row r="49" spans="2:5">
      <c r="B49" s="120" t="s">
        <v>23</v>
      </c>
      <c r="C49" s="124" t="s">
        <v>113</v>
      </c>
      <c r="D49" s="208"/>
      <c r="E49" s="149"/>
    </row>
    <row r="50" spans="2:5">
      <c r="B50" s="102" t="s">
        <v>4</v>
      </c>
      <c r="C50" s="15" t="s">
        <v>40</v>
      </c>
      <c r="D50" s="207">
        <v>154.71</v>
      </c>
      <c r="E50" s="149">
        <v>154.97</v>
      </c>
    </row>
    <row r="51" spans="2:5">
      <c r="B51" s="102" t="s">
        <v>6</v>
      </c>
      <c r="C51" s="15" t="s">
        <v>114</v>
      </c>
      <c r="D51" s="207">
        <v>154.15</v>
      </c>
      <c r="E51" s="75">
        <v>154.97</v>
      </c>
    </row>
    <row r="52" spans="2:5">
      <c r="B52" s="102" t="s">
        <v>8</v>
      </c>
      <c r="C52" s="15" t="s">
        <v>115</v>
      </c>
      <c r="D52" s="207">
        <v>155.4</v>
      </c>
      <c r="E52" s="75">
        <v>158.13</v>
      </c>
    </row>
    <row r="53" spans="2:5" ht="12.75" customHeight="1" thickBot="1">
      <c r="B53" s="103" t="s">
        <v>9</v>
      </c>
      <c r="C53" s="17" t="s">
        <v>41</v>
      </c>
      <c r="D53" s="209">
        <v>154.97</v>
      </c>
      <c r="E53" s="292">
        <v>158.12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5.7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6167157.0300000003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6167157.0300000003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6167157.0300000003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6167157.0300000003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6" right="0.75" top="0.56000000000000005" bottom="0.56000000000000005" header="0.5" footer="0.5"/>
  <pageSetup paperSize="9" scale="70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"/>
  <dimension ref="A1:F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87"/>
      <c r="C4" s="87"/>
      <c r="D4" s="87"/>
      <c r="E4" s="87"/>
    </row>
    <row r="5" spans="2:5" ht="21" customHeight="1">
      <c r="B5" s="358" t="s">
        <v>1</v>
      </c>
      <c r="C5" s="358"/>
      <c r="D5" s="358"/>
      <c r="E5" s="358"/>
    </row>
    <row r="6" spans="2:5" ht="14.25">
      <c r="B6" s="359" t="s">
        <v>155</v>
      </c>
      <c r="C6" s="359"/>
      <c r="D6" s="359"/>
      <c r="E6" s="359"/>
    </row>
    <row r="7" spans="2:5" ht="14.25">
      <c r="B7" s="89"/>
      <c r="C7" s="89"/>
      <c r="D7" s="89"/>
      <c r="E7" s="89"/>
    </row>
    <row r="8" spans="2:5" ht="13.5">
      <c r="B8" s="361" t="s">
        <v>18</v>
      </c>
      <c r="C8" s="363"/>
      <c r="D8" s="363"/>
      <c r="E8" s="363"/>
    </row>
    <row r="9" spans="2:5" ht="16.5" thickBot="1">
      <c r="B9" s="360" t="s">
        <v>103</v>
      </c>
      <c r="C9" s="360"/>
      <c r="D9" s="360"/>
      <c r="E9" s="360"/>
    </row>
    <row r="10" spans="2:5" ht="13.5" thickBot="1">
      <c r="B10" s="88"/>
      <c r="C10" s="76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28" t="s">
        <v>109</v>
      </c>
      <c r="D11" s="243">
        <v>24134390.370000001</v>
      </c>
      <c r="E11" s="244">
        <f>SUM(E12:E14)</f>
        <v>15612415.41</v>
      </c>
    </row>
    <row r="12" spans="2:5">
      <c r="B12" s="106" t="s">
        <v>4</v>
      </c>
      <c r="C12" s="6" t="s">
        <v>5</v>
      </c>
      <c r="D12" s="283">
        <v>24134390.370000001</v>
      </c>
      <c r="E12" s="304">
        <f>15824502.05-212086.64</f>
        <v>15612415.41</v>
      </c>
    </row>
    <row r="13" spans="2:5">
      <c r="B13" s="106" t="s">
        <v>6</v>
      </c>
      <c r="C13" s="68" t="s">
        <v>7</v>
      </c>
      <c r="D13" s="276"/>
      <c r="E13" s="305"/>
    </row>
    <row r="14" spans="2:5">
      <c r="B14" s="106" t="s">
        <v>8</v>
      </c>
      <c r="C14" s="68" t="s">
        <v>10</v>
      </c>
      <c r="D14" s="276"/>
      <c r="E14" s="305"/>
    </row>
    <row r="15" spans="2:5">
      <c r="B15" s="106" t="s">
        <v>106</v>
      </c>
      <c r="C15" s="68" t="s">
        <v>11</v>
      </c>
      <c r="D15" s="276"/>
      <c r="E15" s="305"/>
    </row>
    <row r="16" spans="2:5">
      <c r="B16" s="107" t="s">
        <v>107</v>
      </c>
      <c r="C16" s="91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06" t="s">
        <v>4</v>
      </c>
      <c r="C18" s="6" t="s">
        <v>11</v>
      </c>
      <c r="D18" s="278"/>
      <c r="E18" s="306"/>
    </row>
    <row r="19" spans="2:6" ht="15" customHeight="1">
      <c r="B19" s="106" t="s">
        <v>6</v>
      </c>
      <c r="C19" s="68" t="s">
        <v>108</v>
      </c>
      <c r="D19" s="276"/>
      <c r="E19" s="305"/>
    </row>
    <row r="20" spans="2:6" ht="13.5" thickBot="1">
      <c r="B20" s="108" t="s">
        <v>8</v>
      </c>
      <c r="C20" s="69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24134390.370000001</v>
      </c>
      <c r="E21" s="148">
        <f>E11-E17</f>
        <v>15612415.41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69"/>
      <c r="D23" s="369"/>
      <c r="E23" s="369"/>
    </row>
    <row r="24" spans="2:6" ht="15.75" customHeight="1" thickBot="1">
      <c r="B24" s="360" t="s">
        <v>105</v>
      </c>
      <c r="C24" s="370"/>
      <c r="D24" s="370"/>
      <c r="E24" s="370"/>
    </row>
    <row r="25" spans="2:6" ht="13.5" thickBot="1">
      <c r="B25" s="88"/>
      <c r="C25" s="5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36238211.900000006</v>
      </c>
      <c r="E26" s="231">
        <f>D21</f>
        <v>24134390.370000001</v>
      </c>
    </row>
    <row r="27" spans="2:6">
      <c r="B27" s="9" t="s">
        <v>17</v>
      </c>
      <c r="C27" s="10" t="s">
        <v>111</v>
      </c>
      <c r="D27" s="202">
        <v>-12475662.939999999</v>
      </c>
      <c r="E27" s="224">
        <f>E28-E32</f>
        <v>-8955807.5700000003</v>
      </c>
      <c r="F27" s="71"/>
    </row>
    <row r="28" spans="2:6">
      <c r="B28" s="9" t="s">
        <v>18</v>
      </c>
      <c r="C28" s="10" t="s">
        <v>19</v>
      </c>
      <c r="D28" s="202">
        <v>793024.23</v>
      </c>
      <c r="E28" s="225">
        <v>769487.71</v>
      </c>
      <c r="F28" s="71"/>
    </row>
    <row r="29" spans="2:6">
      <c r="B29" s="104" t="s">
        <v>4</v>
      </c>
      <c r="C29" s="6" t="s">
        <v>20</v>
      </c>
      <c r="D29" s="203"/>
      <c r="E29" s="226"/>
      <c r="F29" s="71"/>
    </row>
    <row r="30" spans="2:6">
      <c r="B30" s="104" t="s">
        <v>6</v>
      </c>
      <c r="C30" s="6" t="s">
        <v>21</v>
      </c>
      <c r="D30" s="203"/>
      <c r="E30" s="226"/>
      <c r="F30" s="71"/>
    </row>
    <row r="31" spans="2:6">
      <c r="B31" s="104" t="s">
        <v>8</v>
      </c>
      <c r="C31" s="6" t="s">
        <v>22</v>
      </c>
      <c r="D31" s="203">
        <v>793024.23</v>
      </c>
      <c r="E31" s="226">
        <v>769487.71</v>
      </c>
      <c r="F31" s="71"/>
    </row>
    <row r="32" spans="2:6">
      <c r="B32" s="92" t="s">
        <v>23</v>
      </c>
      <c r="C32" s="11" t="s">
        <v>24</v>
      </c>
      <c r="D32" s="202">
        <v>13268687.17</v>
      </c>
      <c r="E32" s="225">
        <f>SUM(E33:E39)</f>
        <v>9725295.2800000012</v>
      </c>
      <c r="F32" s="71"/>
    </row>
    <row r="33" spans="2:6">
      <c r="B33" s="104" t="s">
        <v>4</v>
      </c>
      <c r="C33" s="6" t="s">
        <v>25</v>
      </c>
      <c r="D33" s="203">
        <v>11626824.609999999</v>
      </c>
      <c r="E33" s="226">
        <f>9030098.17-10357.6</f>
        <v>9019740.5700000003</v>
      </c>
      <c r="F33" s="71"/>
    </row>
    <row r="34" spans="2:6">
      <c r="B34" s="104" t="s">
        <v>6</v>
      </c>
      <c r="C34" s="6" t="s">
        <v>26</v>
      </c>
      <c r="D34" s="203"/>
      <c r="E34" s="226"/>
      <c r="F34" s="71"/>
    </row>
    <row r="35" spans="2:6">
      <c r="B35" s="104" t="s">
        <v>8</v>
      </c>
      <c r="C35" s="6" t="s">
        <v>27</v>
      </c>
      <c r="D35" s="203">
        <v>54246.76</v>
      </c>
      <c r="E35" s="226">
        <v>41577.97</v>
      </c>
      <c r="F35" s="71"/>
    </row>
    <row r="36" spans="2:6">
      <c r="B36" s="104" t="s">
        <v>9</v>
      </c>
      <c r="C36" s="6" t="s">
        <v>28</v>
      </c>
      <c r="D36" s="203"/>
      <c r="E36" s="226"/>
      <c r="F36" s="71"/>
    </row>
    <row r="37" spans="2:6" ht="25.5">
      <c r="B37" s="104" t="s">
        <v>29</v>
      </c>
      <c r="C37" s="6" t="s">
        <v>30</v>
      </c>
      <c r="D37" s="203">
        <v>592008.57999999996</v>
      </c>
      <c r="E37" s="226">
        <v>399233.1</v>
      </c>
      <c r="F37" s="71"/>
    </row>
    <row r="38" spans="2:6">
      <c r="B38" s="104" t="s">
        <v>31</v>
      </c>
      <c r="C38" s="6" t="s">
        <v>32</v>
      </c>
      <c r="D38" s="203"/>
      <c r="E38" s="226"/>
      <c r="F38" s="71"/>
    </row>
    <row r="39" spans="2:6">
      <c r="B39" s="105" t="s">
        <v>33</v>
      </c>
      <c r="C39" s="12" t="s">
        <v>34</v>
      </c>
      <c r="D39" s="204">
        <v>995607.22</v>
      </c>
      <c r="E39" s="227">
        <v>264743.64</v>
      </c>
      <c r="F39" s="71"/>
    </row>
    <row r="40" spans="2:6" ht="13.5" thickBot="1">
      <c r="B40" s="97" t="s">
        <v>35</v>
      </c>
      <c r="C40" s="98" t="s">
        <v>36</v>
      </c>
      <c r="D40" s="205">
        <v>371841.41</v>
      </c>
      <c r="E40" s="232">
        <v>433832.61</v>
      </c>
    </row>
    <row r="41" spans="2:6" ht="13.5" thickBot="1">
      <c r="B41" s="99" t="s">
        <v>37</v>
      </c>
      <c r="C41" s="100" t="s">
        <v>38</v>
      </c>
      <c r="D41" s="206">
        <v>24134390.370000008</v>
      </c>
      <c r="E41" s="148">
        <f>E26+E27+E40</f>
        <v>15612415.41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63"/>
      <c r="D43" s="363"/>
      <c r="E43" s="363"/>
    </row>
    <row r="44" spans="2:6" ht="18" customHeight="1" thickBot="1">
      <c r="B44" s="360" t="s">
        <v>121</v>
      </c>
      <c r="C44" s="364"/>
      <c r="D44" s="364"/>
      <c r="E44" s="364"/>
    </row>
    <row r="45" spans="2:6" ht="13.5" thickBot="1">
      <c r="B45" s="88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7">
        <v>254750.1715</v>
      </c>
      <c r="E47" s="149">
        <v>167020.00255999999</v>
      </c>
    </row>
    <row r="48" spans="2:6">
      <c r="B48" s="123" t="s">
        <v>6</v>
      </c>
      <c r="C48" s="22" t="s">
        <v>41</v>
      </c>
      <c r="D48" s="207">
        <v>167020.00255999999</v>
      </c>
      <c r="E48" s="291">
        <v>105911.50809999999</v>
      </c>
    </row>
    <row r="49" spans="2:5">
      <c r="B49" s="120" t="s">
        <v>23</v>
      </c>
      <c r="C49" s="124" t="s">
        <v>113</v>
      </c>
      <c r="D49" s="208"/>
      <c r="E49" s="149"/>
    </row>
    <row r="50" spans="2:5">
      <c r="B50" s="102" t="s">
        <v>4</v>
      </c>
      <c r="C50" s="15" t="s">
        <v>40</v>
      </c>
      <c r="D50" s="207">
        <v>142.25</v>
      </c>
      <c r="E50" s="149">
        <v>144.5</v>
      </c>
    </row>
    <row r="51" spans="2:5">
      <c r="B51" s="102" t="s">
        <v>6</v>
      </c>
      <c r="C51" s="15" t="s">
        <v>114</v>
      </c>
      <c r="D51" s="207">
        <v>140.72999999999999</v>
      </c>
      <c r="E51" s="75">
        <v>144.07</v>
      </c>
    </row>
    <row r="52" spans="2:5">
      <c r="B52" s="102" t="s">
        <v>8</v>
      </c>
      <c r="C52" s="15" t="s">
        <v>115</v>
      </c>
      <c r="D52" s="207">
        <v>144.5</v>
      </c>
      <c r="E52" s="75">
        <v>149.18</v>
      </c>
    </row>
    <row r="53" spans="2:5" ht="12.75" customHeight="1" thickBot="1">
      <c r="B53" s="103" t="s">
        <v>9</v>
      </c>
      <c r="C53" s="17" t="s">
        <v>41</v>
      </c>
      <c r="D53" s="209">
        <v>144.5</v>
      </c>
      <c r="E53" s="292">
        <v>147.41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5.7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15612415.41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3.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E12</f>
        <v>15612415.41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0" t="s">
        <v>64</v>
      </c>
      <c r="C74" s="121" t="s">
        <v>66</v>
      </c>
      <c r="D74" s="122">
        <f>D58-D73</f>
        <v>15612415.41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15612415.41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5000000000000004" right="0.75" top="0.6" bottom="0.33" header="0.5" footer="0.5"/>
  <pageSetup paperSize="9" scale="70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0"/>
  <dimension ref="A1:F81"/>
  <sheetViews>
    <sheetView zoomScale="80" zoomScaleNormal="80" workbookViewId="0">
      <selection activeCell="G1" sqref="G1:M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87"/>
      <c r="C4" s="87"/>
      <c r="D4" s="87"/>
      <c r="E4" s="87"/>
    </row>
    <row r="5" spans="2:5" ht="21" customHeight="1">
      <c r="B5" s="358" t="s">
        <v>1</v>
      </c>
      <c r="C5" s="358"/>
      <c r="D5" s="358"/>
      <c r="E5" s="358"/>
    </row>
    <row r="6" spans="2:5" ht="14.25">
      <c r="B6" s="359" t="s">
        <v>156</v>
      </c>
      <c r="C6" s="359"/>
      <c r="D6" s="359"/>
      <c r="E6" s="359"/>
    </row>
    <row r="7" spans="2:5" ht="14.25">
      <c r="B7" s="89"/>
      <c r="C7" s="89"/>
      <c r="D7" s="89"/>
      <c r="E7" s="89"/>
    </row>
    <row r="8" spans="2:5" ht="13.5">
      <c r="B8" s="361" t="s">
        <v>18</v>
      </c>
      <c r="C8" s="363"/>
      <c r="D8" s="363"/>
      <c r="E8" s="363"/>
    </row>
    <row r="9" spans="2:5" ht="16.5" thickBot="1">
      <c r="B9" s="360" t="s">
        <v>103</v>
      </c>
      <c r="C9" s="360"/>
      <c r="D9" s="360"/>
      <c r="E9" s="360"/>
    </row>
    <row r="10" spans="2:5" ht="13.5" thickBot="1">
      <c r="B10" s="88"/>
      <c r="C10" s="76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28" t="s">
        <v>109</v>
      </c>
      <c r="D11" s="243">
        <v>162660.99</v>
      </c>
      <c r="E11" s="244">
        <f>SUM(E12:E14)</f>
        <v>92509.25</v>
      </c>
    </row>
    <row r="12" spans="2:5">
      <c r="B12" s="106" t="s">
        <v>4</v>
      </c>
      <c r="C12" s="6" t="s">
        <v>5</v>
      </c>
      <c r="D12" s="283">
        <v>162660.99</v>
      </c>
      <c r="E12" s="304">
        <f>92514.46-5.21</f>
        <v>92509.25</v>
      </c>
    </row>
    <row r="13" spans="2:5">
      <c r="B13" s="106" t="s">
        <v>6</v>
      </c>
      <c r="C13" s="68" t="s">
        <v>7</v>
      </c>
      <c r="D13" s="276"/>
      <c r="E13" s="305"/>
    </row>
    <row r="14" spans="2:5">
      <c r="B14" s="106" t="s">
        <v>8</v>
      </c>
      <c r="C14" s="68" t="s">
        <v>10</v>
      </c>
      <c r="D14" s="276"/>
      <c r="E14" s="305"/>
    </row>
    <row r="15" spans="2:5">
      <c r="B15" s="106" t="s">
        <v>106</v>
      </c>
      <c r="C15" s="68" t="s">
        <v>11</v>
      </c>
      <c r="D15" s="276"/>
      <c r="E15" s="305"/>
    </row>
    <row r="16" spans="2:5">
      <c r="B16" s="107" t="s">
        <v>107</v>
      </c>
      <c r="C16" s="91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06" t="s">
        <v>4</v>
      </c>
      <c r="C18" s="6" t="s">
        <v>11</v>
      </c>
      <c r="D18" s="278"/>
      <c r="E18" s="306"/>
    </row>
    <row r="19" spans="2:6" ht="15" customHeight="1">
      <c r="B19" s="106" t="s">
        <v>6</v>
      </c>
      <c r="C19" s="68" t="s">
        <v>108</v>
      </c>
      <c r="D19" s="276"/>
      <c r="E19" s="305"/>
    </row>
    <row r="20" spans="2:6" ht="13.5" thickBot="1">
      <c r="B20" s="108" t="s">
        <v>8</v>
      </c>
      <c r="C20" s="69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162660.99</v>
      </c>
      <c r="E21" s="148">
        <f>E11-E17</f>
        <v>92509.25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69"/>
      <c r="D23" s="369"/>
      <c r="E23" s="369"/>
    </row>
    <row r="24" spans="2:6" ht="15.75" customHeight="1" thickBot="1">
      <c r="B24" s="360" t="s">
        <v>105</v>
      </c>
      <c r="C24" s="370"/>
      <c r="D24" s="370"/>
      <c r="E24" s="370"/>
    </row>
    <row r="25" spans="2:6" ht="13.5" thickBot="1">
      <c r="B25" s="88"/>
      <c r="C25" s="5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177152.93999999997</v>
      </c>
      <c r="E26" s="231">
        <f>D21</f>
        <v>162660.99</v>
      </c>
    </row>
    <row r="27" spans="2:6">
      <c r="B27" s="9" t="s">
        <v>17</v>
      </c>
      <c r="C27" s="10" t="s">
        <v>111</v>
      </c>
      <c r="D27" s="202">
        <v>6567.4100000000035</v>
      </c>
      <c r="E27" s="224">
        <f>E28-E32</f>
        <v>-71039.899999999994</v>
      </c>
      <c r="F27" s="71"/>
    </row>
    <row r="28" spans="2:6">
      <c r="B28" s="9" t="s">
        <v>18</v>
      </c>
      <c r="C28" s="10" t="s">
        <v>19</v>
      </c>
      <c r="D28" s="202">
        <v>36288.410000000003</v>
      </c>
      <c r="E28" s="225">
        <v>2370.7399999999998</v>
      </c>
      <c r="F28" s="71"/>
    </row>
    <row r="29" spans="2:6">
      <c r="B29" s="104" t="s">
        <v>4</v>
      </c>
      <c r="C29" s="6" t="s">
        <v>20</v>
      </c>
      <c r="D29" s="203">
        <v>3339.75</v>
      </c>
      <c r="E29" s="226">
        <v>2370.7399999999998</v>
      </c>
      <c r="F29" s="71"/>
    </row>
    <row r="30" spans="2:6">
      <c r="B30" s="104" t="s">
        <v>6</v>
      </c>
      <c r="C30" s="6" t="s">
        <v>21</v>
      </c>
      <c r="D30" s="203"/>
      <c r="E30" s="226"/>
      <c r="F30" s="71"/>
    </row>
    <row r="31" spans="2:6">
      <c r="B31" s="104" t="s">
        <v>8</v>
      </c>
      <c r="C31" s="6" t="s">
        <v>22</v>
      </c>
      <c r="D31" s="203">
        <v>32948.660000000003</v>
      </c>
      <c r="E31" s="226"/>
      <c r="F31" s="71"/>
    </row>
    <row r="32" spans="2:6">
      <c r="B32" s="92" t="s">
        <v>23</v>
      </c>
      <c r="C32" s="11" t="s">
        <v>24</v>
      </c>
      <c r="D32" s="202">
        <v>29721</v>
      </c>
      <c r="E32" s="225">
        <f>SUM(E33:E39)</f>
        <v>73410.64</v>
      </c>
      <c r="F32" s="71"/>
    </row>
    <row r="33" spans="2:6">
      <c r="B33" s="104" t="s">
        <v>4</v>
      </c>
      <c r="C33" s="6" t="s">
        <v>25</v>
      </c>
      <c r="D33" s="203">
        <v>27764.07</v>
      </c>
      <c r="E33" s="226">
        <f>26772.48-2831.16</f>
        <v>23941.32</v>
      </c>
      <c r="F33" s="71"/>
    </row>
    <row r="34" spans="2:6">
      <c r="B34" s="104" t="s">
        <v>6</v>
      </c>
      <c r="C34" s="6" t="s">
        <v>26</v>
      </c>
      <c r="D34" s="203"/>
      <c r="E34" s="226"/>
      <c r="F34" s="71"/>
    </row>
    <row r="35" spans="2:6">
      <c r="B35" s="104" t="s">
        <v>8</v>
      </c>
      <c r="C35" s="6" t="s">
        <v>27</v>
      </c>
      <c r="D35" s="203">
        <v>196.87</v>
      </c>
      <c r="E35" s="226">
        <v>260.2</v>
      </c>
      <c r="F35" s="71"/>
    </row>
    <row r="36" spans="2:6">
      <c r="B36" s="104" t="s">
        <v>9</v>
      </c>
      <c r="C36" s="6" t="s">
        <v>28</v>
      </c>
      <c r="D36" s="203"/>
      <c r="E36" s="226"/>
      <c r="F36" s="71"/>
    </row>
    <row r="37" spans="2:6" ht="25.5">
      <c r="B37" s="104" t="s">
        <v>29</v>
      </c>
      <c r="C37" s="6" t="s">
        <v>30</v>
      </c>
      <c r="D37" s="203">
        <v>1760.06</v>
      </c>
      <c r="E37" s="226">
        <v>1502.8</v>
      </c>
      <c r="F37" s="71"/>
    </row>
    <row r="38" spans="2:6">
      <c r="B38" s="104" t="s">
        <v>31</v>
      </c>
      <c r="C38" s="6" t="s">
        <v>32</v>
      </c>
      <c r="D38" s="203"/>
      <c r="E38" s="226"/>
      <c r="F38" s="71"/>
    </row>
    <row r="39" spans="2:6">
      <c r="B39" s="105" t="s">
        <v>33</v>
      </c>
      <c r="C39" s="12" t="s">
        <v>34</v>
      </c>
      <c r="D39" s="204"/>
      <c r="E39" s="227">
        <v>47706.32</v>
      </c>
      <c r="F39" s="71"/>
    </row>
    <row r="40" spans="2:6" ht="13.5" thickBot="1">
      <c r="B40" s="97" t="s">
        <v>35</v>
      </c>
      <c r="C40" s="98" t="s">
        <v>36</v>
      </c>
      <c r="D40" s="205">
        <v>-21059.360000000001</v>
      </c>
      <c r="E40" s="232">
        <v>888.16</v>
      </c>
    </row>
    <row r="41" spans="2:6" ht="13.5" thickBot="1">
      <c r="B41" s="99" t="s">
        <v>37</v>
      </c>
      <c r="C41" s="100" t="s">
        <v>38</v>
      </c>
      <c r="D41" s="206">
        <v>162660.99</v>
      </c>
      <c r="E41" s="148">
        <f>E26+E27+E40</f>
        <v>92509.25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63"/>
      <c r="D43" s="363"/>
      <c r="E43" s="363"/>
    </row>
    <row r="44" spans="2:6" ht="18" customHeight="1" thickBot="1">
      <c r="B44" s="360" t="s">
        <v>121</v>
      </c>
      <c r="C44" s="364"/>
      <c r="D44" s="364"/>
      <c r="E44" s="364"/>
    </row>
    <row r="45" spans="2:6" ht="13.5" thickBot="1">
      <c r="B45" s="88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7">
        <v>1739.3514</v>
      </c>
      <c r="E47" s="149">
        <v>1798.3525999999999</v>
      </c>
    </row>
    <row r="48" spans="2:6">
      <c r="B48" s="123" t="s">
        <v>6</v>
      </c>
      <c r="C48" s="22" t="s">
        <v>41</v>
      </c>
      <c r="D48" s="207">
        <v>1798.3525999999999</v>
      </c>
      <c r="E48" s="291">
        <v>1031.3183000000001</v>
      </c>
    </row>
    <row r="49" spans="2:5">
      <c r="B49" s="120" t="s">
        <v>23</v>
      </c>
      <c r="C49" s="124" t="s">
        <v>113</v>
      </c>
      <c r="D49" s="208"/>
      <c r="E49" s="149"/>
    </row>
    <row r="50" spans="2:5">
      <c r="B50" s="102" t="s">
        <v>4</v>
      </c>
      <c r="C50" s="15" t="s">
        <v>40</v>
      </c>
      <c r="D50" s="207">
        <v>101.85</v>
      </c>
      <c r="E50" s="149">
        <v>90.45</v>
      </c>
    </row>
    <row r="51" spans="2:5">
      <c r="B51" s="102" t="s">
        <v>6</v>
      </c>
      <c r="C51" s="15" t="s">
        <v>114</v>
      </c>
      <c r="D51" s="207">
        <v>86.73</v>
      </c>
      <c r="E51" s="149">
        <v>85.82</v>
      </c>
    </row>
    <row r="52" spans="2:5">
      <c r="B52" s="102" t="s">
        <v>8</v>
      </c>
      <c r="C52" s="15" t="s">
        <v>115</v>
      </c>
      <c r="D52" s="207">
        <v>107.29</v>
      </c>
      <c r="E52" s="75">
        <v>98.28</v>
      </c>
    </row>
    <row r="53" spans="2:5" ht="13.5" customHeight="1" thickBot="1">
      <c r="B53" s="103" t="s">
        <v>9</v>
      </c>
      <c r="C53" s="17" t="s">
        <v>41</v>
      </c>
      <c r="D53" s="209">
        <v>90.45</v>
      </c>
      <c r="E53" s="292">
        <v>89.7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6.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92509.25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3.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92509.25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92509.25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92509.25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rowBreaks count="1" manualBreakCount="1">
    <brk id="7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81"/>
  <sheetViews>
    <sheetView zoomScale="80" zoomScaleNormal="80" workbookViewId="0">
      <selection activeCell="G1" sqref="G1:O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85"/>
      <c r="C4" s="85"/>
      <c r="D4" s="85"/>
      <c r="E4" s="85"/>
    </row>
    <row r="5" spans="2:5" ht="21" customHeight="1">
      <c r="B5" s="358" t="s">
        <v>1</v>
      </c>
      <c r="C5" s="358"/>
      <c r="D5" s="358"/>
      <c r="E5" s="358"/>
    </row>
    <row r="6" spans="2:5" ht="14.25">
      <c r="B6" s="359" t="s">
        <v>141</v>
      </c>
      <c r="C6" s="359"/>
      <c r="D6" s="359"/>
      <c r="E6" s="359"/>
    </row>
    <row r="7" spans="2:5" ht="14.25">
      <c r="B7" s="89"/>
      <c r="C7" s="89"/>
      <c r="D7" s="89"/>
      <c r="E7" s="89"/>
    </row>
    <row r="8" spans="2:5" ht="13.5">
      <c r="B8" s="361" t="s">
        <v>18</v>
      </c>
      <c r="C8" s="363"/>
      <c r="D8" s="363"/>
      <c r="E8" s="363"/>
    </row>
    <row r="9" spans="2:5" ht="16.5" thickBot="1">
      <c r="B9" s="360" t="s">
        <v>103</v>
      </c>
      <c r="C9" s="360"/>
      <c r="D9" s="360"/>
      <c r="E9" s="360"/>
    </row>
    <row r="10" spans="2:5" ht="13.5" thickBot="1">
      <c r="B10" s="86"/>
      <c r="C10" s="76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28" t="s">
        <v>109</v>
      </c>
      <c r="D11" s="243">
        <v>66291035.709999993</v>
      </c>
      <c r="E11" s="244">
        <f>SUM(E12:E14)</f>
        <v>69936021.609999999</v>
      </c>
    </row>
    <row r="12" spans="2:5">
      <c r="B12" s="106" t="s">
        <v>4</v>
      </c>
      <c r="C12" s="6" t="s">
        <v>5</v>
      </c>
      <c r="D12" s="283">
        <v>66081046.089999996</v>
      </c>
      <c r="E12" s="304">
        <f>70977997.87+491326.55-1722211.61</f>
        <v>69747112.810000002</v>
      </c>
    </row>
    <row r="13" spans="2:5">
      <c r="B13" s="106" t="s">
        <v>6</v>
      </c>
      <c r="C13" s="68" t="s">
        <v>7</v>
      </c>
      <c r="D13" s="276"/>
      <c r="E13" s="305"/>
    </row>
    <row r="14" spans="2:5">
      <c r="B14" s="106" t="s">
        <v>8</v>
      </c>
      <c r="C14" s="68" t="s">
        <v>10</v>
      </c>
      <c r="D14" s="276">
        <v>209989.62</v>
      </c>
      <c r="E14" s="305">
        <f>E15</f>
        <v>188908.79999999999</v>
      </c>
    </row>
    <row r="15" spans="2:5">
      <c r="B15" s="106" t="s">
        <v>106</v>
      </c>
      <c r="C15" s="68" t="s">
        <v>11</v>
      </c>
      <c r="D15" s="276">
        <v>209989.62</v>
      </c>
      <c r="E15" s="305">
        <v>188908.79999999999</v>
      </c>
    </row>
    <row r="16" spans="2:5">
      <c r="B16" s="107" t="s">
        <v>107</v>
      </c>
      <c r="C16" s="91" t="s">
        <v>12</v>
      </c>
      <c r="D16" s="278"/>
      <c r="E16" s="306"/>
    </row>
    <row r="17" spans="2:6">
      <c r="B17" s="9" t="s">
        <v>13</v>
      </c>
      <c r="C17" s="11" t="s">
        <v>65</v>
      </c>
      <c r="D17" s="279">
        <v>97365.56</v>
      </c>
      <c r="E17" s="307">
        <f>E18</f>
        <v>97450.8</v>
      </c>
    </row>
    <row r="18" spans="2:6">
      <c r="B18" s="106" t="s">
        <v>4</v>
      </c>
      <c r="C18" s="6" t="s">
        <v>11</v>
      </c>
      <c r="D18" s="278">
        <v>97365.56</v>
      </c>
      <c r="E18" s="306">
        <v>97450.8</v>
      </c>
    </row>
    <row r="19" spans="2:6" ht="15" customHeight="1">
      <c r="B19" s="106" t="s">
        <v>6</v>
      </c>
      <c r="C19" s="68" t="s">
        <v>108</v>
      </c>
      <c r="D19" s="276"/>
      <c r="E19" s="305"/>
    </row>
    <row r="20" spans="2:6" ht="13.5" customHeight="1" thickBot="1">
      <c r="B20" s="108" t="s">
        <v>8</v>
      </c>
      <c r="C20" s="69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66193670.149999991</v>
      </c>
      <c r="E21" s="148">
        <f>E11-E17</f>
        <v>69838570.810000002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69"/>
      <c r="D23" s="369"/>
      <c r="E23" s="369"/>
    </row>
    <row r="24" spans="2:6" ht="15.75" customHeight="1" thickBot="1">
      <c r="B24" s="360" t="s">
        <v>105</v>
      </c>
      <c r="C24" s="370"/>
      <c r="D24" s="370"/>
      <c r="E24" s="370"/>
    </row>
    <row r="25" spans="2:6" ht="13.5" thickBot="1">
      <c r="B25" s="86"/>
      <c r="C25" s="5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69323138.370000005</v>
      </c>
      <c r="E26" s="231">
        <f>D21</f>
        <v>66193670.149999991</v>
      </c>
    </row>
    <row r="27" spans="2:6">
      <c r="B27" s="9" t="s">
        <v>17</v>
      </c>
      <c r="C27" s="10" t="s">
        <v>111</v>
      </c>
      <c r="D27" s="202">
        <v>-2710257.4299999997</v>
      </c>
      <c r="E27" s="328">
        <f>E28-E32</f>
        <v>2179715.2900000047</v>
      </c>
      <c r="F27" s="71"/>
    </row>
    <row r="28" spans="2:6">
      <c r="B28" s="9" t="s">
        <v>18</v>
      </c>
      <c r="C28" s="10" t="s">
        <v>19</v>
      </c>
      <c r="D28" s="202">
        <v>11392869.83</v>
      </c>
      <c r="E28" s="328">
        <v>13140157.15</v>
      </c>
      <c r="F28" s="71"/>
    </row>
    <row r="29" spans="2:6">
      <c r="B29" s="104" t="s">
        <v>4</v>
      </c>
      <c r="C29" s="6" t="s">
        <v>20</v>
      </c>
      <c r="D29" s="203">
        <v>9930799.7699999996</v>
      </c>
      <c r="E29" s="329">
        <v>11147929.950000001</v>
      </c>
      <c r="F29" s="71"/>
    </row>
    <row r="30" spans="2:6">
      <c r="B30" s="104" t="s">
        <v>6</v>
      </c>
      <c r="C30" s="6" t="s">
        <v>21</v>
      </c>
      <c r="D30" s="203"/>
      <c r="E30" s="329"/>
      <c r="F30" s="71"/>
    </row>
    <row r="31" spans="2:6">
      <c r="B31" s="104" t="s">
        <v>8</v>
      </c>
      <c r="C31" s="6" t="s">
        <v>22</v>
      </c>
      <c r="D31" s="203">
        <v>1462070.0599999998</v>
      </c>
      <c r="E31" s="329">
        <v>1992227.2</v>
      </c>
      <c r="F31" s="71"/>
    </row>
    <row r="32" spans="2:6">
      <c r="B32" s="92" t="s">
        <v>23</v>
      </c>
      <c r="C32" s="11" t="s">
        <v>24</v>
      </c>
      <c r="D32" s="202">
        <v>14103127.26</v>
      </c>
      <c r="E32" s="328">
        <f>SUM(E33:E39)</f>
        <v>10960441.859999996</v>
      </c>
      <c r="F32" s="71"/>
    </row>
    <row r="33" spans="2:6">
      <c r="B33" s="104" t="s">
        <v>4</v>
      </c>
      <c r="C33" s="6" t="s">
        <v>25</v>
      </c>
      <c r="D33" s="203">
        <v>11577497.209999999</v>
      </c>
      <c r="E33" s="329">
        <f>8826978.89-415489.16</f>
        <v>8411489.7300000004</v>
      </c>
      <c r="F33" s="71"/>
    </row>
    <row r="34" spans="2:6">
      <c r="B34" s="104" t="s">
        <v>6</v>
      </c>
      <c r="C34" s="6" t="s">
        <v>26</v>
      </c>
      <c r="D34" s="203"/>
      <c r="E34" s="329"/>
      <c r="F34" s="71"/>
    </row>
    <row r="35" spans="2:6">
      <c r="B35" s="104" t="s">
        <v>8</v>
      </c>
      <c r="C35" s="6" t="s">
        <v>27</v>
      </c>
      <c r="D35" s="203">
        <v>1266306.8899999999</v>
      </c>
      <c r="E35" s="329">
        <v>1268829.51</v>
      </c>
      <c r="F35" s="71"/>
    </row>
    <row r="36" spans="2:6">
      <c r="B36" s="104" t="s">
        <v>9</v>
      </c>
      <c r="C36" s="6" t="s">
        <v>28</v>
      </c>
      <c r="D36" s="203"/>
      <c r="E36" s="329"/>
      <c r="F36" s="71"/>
    </row>
    <row r="37" spans="2:6" ht="25.5">
      <c r="B37" s="104" t="s">
        <v>29</v>
      </c>
      <c r="C37" s="6" t="s">
        <v>30</v>
      </c>
      <c r="D37" s="203"/>
      <c r="E37" s="329"/>
      <c r="F37" s="71"/>
    </row>
    <row r="38" spans="2:6">
      <c r="B38" s="104" t="s">
        <v>31</v>
      </c>
      <c r="C38" s="6" t="s">
        <v>32</v>
      </c>
      <c r="D38" s="203"/>
      <c r="E38" s="329"/>
      <c r="F38" s="71"/>
    </row>
    <row r="39" spans="2:6">
      <c r="B39" s="105" t="s">
        <v>33</v>
      </c>
      <c r="C39" s="12" t="s">
        <v>34</v>
      </c>
      <c r="D39" s="204">
        <v>1259323.1599999999</v>
      </c>
      <c r="E39" s="329">
        <v>1280122.6199999964</v>
      </c>
      <c r="F39" s="71"/>
    </row>
    <row r="40" spans="2:6" ht="13.5" thickBot="1">
      <c r="B40" s="97" t="s">
        <v>35</v>
      </c>
      <c r="C40" s="98" t="s">
        <v>36</v>
      </c>
      <c r="D40" s="205">
        <v>-419210.79</v>
      </c>
      <c r="E40" s="232">
        <v>1465185.37</v>
      </c>
    </row>
    <row r="41" spans="2:6" ht="13.5" thickBot="1">
      <c r="B41" s="99" t="s">
        <v>37</v>
      </c>
      <c r="C41" s="100" t="s">
        <v>38</v>
      </c>
      <c r="D41" s="206">
        <v>66193670.150000006</v>
      </c>
      <c r="E41" s="148">
        <f>E26+E27+E40</f>
        <v>69838570.810000002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63"/>
      <c r="D43" s="363"/>
      <c r="E43" s="363"/>
    </row>
    <row r="44" spans="2:6" ht="18.75" customHeight="1" thickBot="1">
      <c r="B44" s="360" t="s">
        <v>121</v>
      </c>
      <c r="C44" s="364"/>
      <c r="D44" s="364"/>
      <c r="E44" s="364"/>
    </row>
    <row r="45" spans="2:6" ht="13.5" thickBot="1">
      <c r="B45" s="86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217"/>
      <c r="E46" s="28"/>
    </row>
    <row r="47" spans="2:6">
      <c r="B47" s="102" t="s">
        <v>4</v>
      </c>
      <c r="C47" s="15" t="s">
        <v>40</v>
      </c>
      <c r="D47" s="207">
        <v>1508445.1646</v>
      </c>
      <c r="E47" s="73">
        <v>1448976.9515</v>
      </c>
    </row>
    <row r="48" spans="2:6">
      <c r="B48" s="123" t="s">
        <v>6</v>
      </c>
      <c r="C48" s="22" t="s">
        <v>41</v>
      </c>
      <c r="D48" s="207">
        <v>1448976.9515</v>
      </c>
      <c r="E48" s="264">
        <v>1496773.2821000002</v>
      </c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02" t="s">
        <v>4</v>
      </c>
      <c r="C50" s="15" t="s">
        <v>40</v>
      </c>
      <c r="D50" s="207">
        <v>45.956684402908202</v>
      </c>
      <c r="E50" s="73">
        <v>45.683038699568002</v>
      </c>
    </row>
    <row r="51" spans="2:5">
      <c r="B51" s="102" t="s">
        <v>6</v>
      </c>
      <c r="C51" s="15" t="s">
        <v>114</v>
      </c>
      <c r="D51" s="207">
        <v>45.57</v>
      </c>
      <c r="E51" s="73">
        <v>45.683</v>
      </c>
    </row>
    <row r="52" spans="2:5">
      <c r="B52" s="102" t="s">
        <v>8</v>
      </c>
      <c r="C52" s="15" t="s">
        <v>115</v>
      </c>
      <c r="D52" s="207">
        <v>46.025700000000001</v>
      </c>
      <c r="E52" s="75">
        <v>46.673400000000001</v>
      </c>
    </row>
    <row r="53" spans="2:5" ht="13.5" customHeight="1" thickBot="1">
      <c r="B53" s="103" t="s">
        <v>9</v>
      </c>
      <c r="C53" s="17" t="s">
        <v>41</v>
      </c>
      <c r="D53" s="209">
        <v>45.683038699568002</v>
      </c>
      <c r="E53" s="268">
        <v>46.659399999999998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5.7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SUM(D59:D70)</f>
        <v>69747112.810000002</v>
      </c>
      <c r="E58" s="31">
        <f>D58/E21</f>
        <v>0.99869043711892647</v>
      </c>
    </row>
    <row r="59" spans="2:5" ht="25.5">
      <c r="B59" s="21" t="s">
        <v>4</v>
      </c>
      <c r="C59" s="22" t="s">
        <v>44</v>
      </c>
      <c r="D59" s="80">
        <v>0</v>
      </c>
      <c r="E59" s="81">
        <v>0</v>
      </c>
    </row>
    <row r="60" spans="2:5" ht="25.5">
      <c r="B60" s="14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4" t="s">
        <v>8</v>
      </c>
      <c r="C61" s="15" t="s">
        <v>46</v>
      </c>
      <c r="D61" s="78">
        <v>0</v>
      </c>
      <c r="E61" s="79">
        <v>0</v>
      </c>
    </row>
    <row r="62" spans="2:5">
      <c r="B62" s="14" t="s">
        <v>9</v>
      </c>
      <c r="C62" s="15" t="s">
        <v>47</v>
      </c>
      <c r="D62" s="78">
        <v>0</v>
      </c>
      <c r="E62" s="79">
        <v>0</v>
      </c>
    </row>
    <row r="63" spans="2:5">
      <c r="B63" s="14" t="s">
        <v>29</v>
      </c>
      <c r="C63" s="15" t="s">
        <v>48</v>
      </c>
      <c r="D63" s="78">
        <v>0</v>
      </c>
      <c r="E63" s="79">
        <v>0</v>
      </c>
    </row>
    <row r="64" spans="2:5">
      <c r="B64" s="21" t="s">
        <v>31</v>
      </c>
      <c r="C64" s="22" t="s">
        <v>49</v>
      </c>
      <c r="D64" s="269">
        <f>70977997.87-1722211.61</f>
        <v>69255786.260000005</v>
      </c>
      <c r="E64" s="81">
        <f>D64/E21</f>
        <v>0.99165526236804735</v>
      </c>
    </row>
    <row r="65" spans="2:5">
      <c r="B65" s="21" t="s">
        <v>33</v>
      </c>
      <c r="C65" s="22" t="s">
        <v>118</v>
      </c>
      <c r="D65" s="80">
        <v>0</v>
      </c>
      <c r="E65" s="81">
        <v>0</v>
      </c>
    </row>
    <row r="66" spans="2:5">
      <c r="B66" s="21" t="s">
        <v>50</v>
      </c>
      <c r="C66" s="22" t="s">
        <v>51</v>
      </c>
      <c r="D66" s="80">
        <v>0</v>
      </c>
      <c r="E66" s="81">
        <v>0</v>
      </c>
    </row>
    <row r="67" spans="2:5">
      <c r="B67" s="14" t="s">
        <v>52</v>
      </c>
      <c r="C67" s="15" t="s">
        <v>53</v>
      </c>
      <c r="D67" s="78">
        <v>0</v>
      </c>
      <c r="E67" s="79">
        <v>0</v>
      </c>
    </row>
    <row r="68" spans="2:5">
      <c r="B68" s="14" t="s">
        <v>54</v>
      </c>
      <c r="C68" s="15" t="s">
        <v>55</v>
      </c>
      <c r="D68" s="78">
        <v>0</v>
      </c>
      <c r="E68" s="79">
        <v>0</v>
      </c>
    </row>
    <row r="69" spans="2:5">
      <c r="B69" s="14" t="s">
        <v>56</v>
      </c>
      <c r="C69" s="15" t="s">
        <v>57</v>
      </c>
      <c r="D69" s="286">
        <v>491326.55</v>
      </c>
      <c r="E69" s="79">
        <f>D69/E21</f>
        <v>7.0351747508791834E-3</v>
      </c>
    </row>
    <row r="70" spans="2:5">
      <c r="B70" s="112" t="s">
        <v>58</v>
      </c>
      <c r="C70" s="113" t="s">
        <v>59</v>
      </c>
      <c r="D70" s="114">
        <v>0</v>
      </c>
      <c r="E70" s="115">
        <v>0</v>
      </c>
    </row>
    <row r="71" spans="2:5">
      <c r="B71" s="120" t="s">
        <v>23</v>
      </c>
      <c r="C71" s="121" t="s">
        <v>61</v>
      </c>
      <c r="D71" s="122">
        <f>E13</f>
        <v>0</v>
      </c>
      <c r="E71" s="66">
        <v>0</v>
      </c>
    </row>
    <row r="72" spans="2:5">
      <c r="B72" s="116" t="s">
        <v>60</v>
      </c>
      <c r="C72" s="117" t="s">
        <v>63</v>
      </c>
      <c r="D72" s="118">
        <f>E14</f>
        <v>188908.79999999999</v>
      </c>
      <c r="E72" s="119">
        <f>D72/E21</f>
        <v>2.7049350782669601E-3</v>
      </c>
    </row>
    <row r="73" spans="2:5">
      <c r="B73" s="23" t="s">
        <v>62</v>
      </c>
      <c r="C73" s="24" t="s">
        <v>65</v>
      </c>
      <c r="D73" s="25">
        <f>E17</f>
        <v>97450.8</v>
      </c>
      <c r="E73" s="26">
        <f>D73/E21</f>
        <v>1.3953721971934495E-3</v>
      </c>
    </row>
    <row r="74" spans="2:5">
      <c r="B74" s="120" t="s">
        <v>64</v>
      </c>
      <c r="C74" s="121" t="s">
        <v>66</v>
      </c>
      <c r="D74" s="122">
        <f>D58++D71+D72-D73</f>
        <v>69838570.810000002</v>
      </c>
      <c r="E74" s="66">
        <f>E58+E72-E73</f>
        <v>0.99999999999999989</v>
      </c>
    </row>
    <row r="75" spans="2:5">
      <c r="B75" s="14" t="s">
        <v>4</v>
      </c>
      <c r="C75" s="15" t="s">
        <v>67</v>
      </c>
      <c r="D75" s="78">
        <f>D74</f>
        <v>69838570.810000002</v>
      </c>
      <c r="E75" s="79">
        <f>E74</f>
        <v>0.99999999999999989</v>
      </c>
    </row>
    <row r="76" spans="2:5">
      <c r="B76" s="14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6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18"/>
      <c r="E78" s="218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5000000000000004" right="0.75" top="0.51" bottom="0.33" header="0.5" footer="0.5"/>
  <pageSetup paperSize="9" scale="7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"/>
  <dimension ref="A1:F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87"/>
      <c r="C4" s="87"/>
      <c r="D4" s="87"/>
      <c r="E4" s="87"/>
    </row>
    <row r="5" spans="2:5" ht="21" customHeight="1">
      <c r="B5" s="358" t="s">
        <v>1</v>
      </c>
      <c r="C5" s="358"/>
      <c r="D5" s="358"/>
      <c r="E5" s="358"/>
    </row>
    <row r="6" spans="2:5" ht="14.25">
      <c r="B6" s="359" t="s">
        <v>157</v>
      </c>
      <c r="C6" s="359"/>
      <c r="D6" s="359"/>
      <c r="E6" s="359"/>
    </row>
    <row r="7" spans="2:5" ht="14.25">
      <c r="B7" s="89"/>
      <c r="C7" s="89"/>
      <c r="D7" s="89"/>
      <c r="E7" s="89"/>
    </row>
    <row r="8" spans="2:5" ht="13.5">
      <c r="B8" s="361" t="s">
        <v>18</v>
      </c>
      <c r="C8" s="363"/>
      <c r="D8" s="363"/>
      <c r="E8" s="363"/>
    </row>
    <row r="9" spans="2:5" ht="16.5" thickBot="1">
      <c r="B9" s="360" t="s">
        <v>103</v>
      </c>
      <c r="C9" s="360"/>
      <c r="D9" s="360"/>
      <c r="E9" s="360"/>
    </row>
    <row r="10" spans="2:5" ht="13.5" thickBot="1">
      <c r="B10" s="88"/>
      <c r="C10" s="76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28" t="s">
        <v>109</v>
      </c>
      <c r="D11" s="243">
        <v>48325.51</v>
      </c>
      <c r="E11" s="244">
        <f>SUM(E12:E14)</f>
        <v>54663.37</v>
      </c>
    </row>
    <row r="12" spans="2:5">
      <c r="B12" s="106" t="s">
        <v>4</v>
      </c>
      <c r="C12" s="6" t="s">
        <v>5</v>
      </c>
      <c r="D12" s="283">
        <v>48325.51</v>
      </c>
      <c r="E12" s="304">
        <v>54663.37</v>
      </c>
    </row>
    <row r="13" spans="2:5">
      <c r="B13" s="106" t="s">
        <v>6</v>
      </c>
      <c r="C13" s="68" t="s">
        <v>7</v>
      </c>
      <c r="D13" s="276"/>
      <c r="E13" s="305"/>
    </row>
    <row r="14" spans="2:5">
      <c r="B14" s="106" t="s">
        <v>8</v>
      </c>
      <c r="C14" s="68" t="s">
        <v>10</v>
      </c>
      <c r="D14" s="276"/>
      <c r="E14" s="305"/>
    </row>
    <row r="15" spans="2:5">
      <c r="B15" s="106" t="s">
        <v>106</v>
      </c>
      <c r="C15" s="68" t="s">
        <v>11</v>
      </c>
      <c r="D15" s="276"/>
      <c r="E15" s="305"/>
    </row>
    <row r="16" spans="2:5">
      <c r="B16" s="107" t="s">
        <v>107</v>
      </c>
      <c r="C16" s="91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06" t="s">
        <v>4</v>
      </c>
      <c r="C18" s="6" t="s">
        <v>11</v>
      </c>
      <c r="D18" s="278"/>
      <c r="E18" s="306"/>
    </row>
    <row r="19" spans="2:6" ht="15" customHeight="1">
      <c r="B19" s="106" t="s">
        <v>6</v>
      </c>
      <c r="C19" s="68" t="s">
        <v>108</v>
      </c>
      <c r="D19" s="276"/>
      <c r="E19" s="305"/>
    </row>
    <row r="20" spans="2:6" ht="13.5" thickBot="1">
      <c r="B20" s="108" t="s">
        <v>8</v>
      </c>
      <c r="C20" s="69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48325.51</v>
      </c>
      <c r="E21" s="148">
        <f>E11-E17</f>
        <v>54663.37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69"/>
      <c r="D23" s="369"/>
      <c r="E23" s="369"/>
    </row>
    <row r="24" spans="2:6" ht="15.75" customHeight="1" thickBot="1">
      <c r="B24" s="360" t="s">
        <v>105</v>
      </c>
      <c r="C24" s="370"/>
      <c r="D24" s="370"/>
      <c r="E24" s="370"/>
    </row>
    <row r="25" spans="2:6" ht="13.5" thickBot="1">
      <c r="B25" s="88"/>
      <c r="C25" s="5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57279.55</v>
      </c>
      <c r="E26" s="231">
        <f>D21</f>
        <v>48325.51</v>
      </c>
    </row>
    <row r="27" spans="2:6">
      <c r="B27" s="9" t="s">
        <v>17</v>
      </c>
      <c r="C27" s="10" t="s">
        <v>111</v>
      </c>
      <c r="D27" s="202">
        <v>-1053.2</v>
      </c>
      <c r="E27" s="224">
        <v>-3143.48</v>
      </c>
      <c r="F27" s="71"/>
    </row>
    <row r="28" spans="2:6">
      <c r="B28" s="9" t="s">
        <v>18</v>
      </c>
      <c r="C28" s="10" t="s">
        <v>19</v>
      </c>
      <c r="D28" s="202">
        <v>0</v>
      </c>
      <c r="E28" s="225">
        <v>0</v>
      </c>
      <c r="F28" s="71"/>
    </row>
    <row r="29" spans="2:6">
      <c r="B29" s="104" t="s">
        <v>4</v>
      </c>
      <c r="C29" s="6" t="s">
        <v>20</v>
      </c>
      <c r="D29" s="203"/>
      <c r="E29" s="226"/>
      <c r="F29" s="71"/>
    </row>
    <row r="30" spans="2:6">
      <c r="B30" s="104" t="s">
        <v>6</v>
      </c>
      <c r="C30" s="6" t="s">
        <v>21</v>
      </c>
      <c r="D30" s="203"/>
      <c r="E30" s="226"/>
      <c r="F30" s="71"/>
    </row>
    <row r="31" spans="2:6">
      <c r="B31" s="104" t="s">
        <v>8</v>
      </c>
      <c r="C31" s="6" t="s">
        <v>22</v>
      </c>
      <c r="D31" s="203"/>
      <c r="E31" s="226"/>
      <c r="F31" s="71"/>
    </row>
    <row r="32" spans="2:6">
      <c r="B32" s="92" t="s">
        <v>23</v>
      </c>
      <c r="C32" s="11" t="s">
        <v>24</v>
      </c>
      <c r="D32" s="202">
        <v>1053.2</v>
      </c>
      <c r="E32" s="225">
        <v>3143.48</v>
      </c>
      <c r="F32" s="71"/>
    </row>
    <row r="33" spans="2:6">
      <c r="B33" s="104" t="s">
        <v>4</v>
      </c>
      <c r="C33" s="6" t="s">
        <v>25</v>
      </c>
      <c r="D33" s="203"/>
      <c r="E33" s="226">
        <v>2093.79</v>
      </c>
      <c r="F33" s="71"/>
    </row>
    <row r="34" spans="2:6">
      <c r="B34" s="104" t="s">
        <v>6</v>
      </c>
      <c r="C34" s="6" t="s">
        <v>26</v>
      </c>
      <c r="D34" s="203"/>
      <c r="E34" s="226"/>
      <c r="F34" s="71"/>
    </row>
    <row r="35" spans="2:6">
      <c r="B35" s="104" t="s">
        <v>8</v>
      </c>
      <c r="C35" s="6" t="s">
        <v>27</v>
      </c>
      <c r="D35" s="203">
        <v>85.18</v>
      </c>
      <c r="E35" s="226">
        <v>95.03</v>
      </c>
      <c r="F35" s="71"/>
    </row>
    <row r="36" spans="2:6">
      <c r="B36" s="104" t="s">
        <v>9</v>
      </c>
      <c r="C36" s="6" t="s">
        <v>28</v>
      </c>
      <c r="D36" s="203"/>
      <c r="E36" s="226"/>
      <c r="F36" s="71"/>
    </row>
    <row r="37" spans="2:6" ht="25.5">
      <c r="B37" s="104" t="s">
        <v>29</v>
      </c>
      <c r="C37" s="6" t="s">
        <v>30</v>
      </c>
      <c r="D37" s="203">
        <v>968.02</v>
      </c>
      <c r="E37" s="226">
        <v>954.66</v>
      </c>
      <c r="F37" s="71"/>
    </row>
    <row r="38" spans="2:6">
      <c r="B38" s="104" t="s">
        <v>31</v>
      </c>
      <c r="C38" s="6" t="s">
        <v>32</v>
      </c>
      <c r="D38" s="203"/>
      <c r="E38" s="226"/>
      <c r="F38" s="71"/>
    </row>
    <row r="39" spans="2:6">
      <c r="B39" s="105" t="s">
        <v>33</v>
      </c>
      <c r="C39" s="12" t="s">
        <v>34</v>
      </c>
      <c r="D39" s="204"/>
      <c r="E39" s="227"/>
      <c r="F39" s="71"/>
    </row>
    <row r="40" spans="2:6" ht="13.5" thickBot="1">
      <c r="B40" s="97" t="s">
        <v>35</v>
      </c>
      <c r="C40" s="98" t="s">
        <v>36</v>
      </c>
      <c r="D40" s="205">
        <v>-7900.84</v>
      </c>
      <c r="E40" s="232">
        <v>9481.34</v>
      </c>
    </row>
    <row r="41" spans="2:6" ht="13.5" thickBot="1">
      <c r="B41" s="99" t="s">
        <v>37</v>
      </c>
      <c r="C41" s="100" t="s">
        <v>38</v>
      </c>
      <c r="D41" s="206">
        <v>48325.510000000009</v>
      </c>
      <c r="E41" s="148">
        <f>E26+E27+E40</f>
        <v>54663.369999999995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63"/>
      <c r="D43" s="363"/>
      <c r="E43" s="363"/>
    </row>
    <row r="44" spans="2:6" ht="18" customHeight="1" thickBot="1">
      <c r="B44" s="360" t="s">
        <v>121</v>
      </c>
      <c r="C44" s="364"/>
      <c r="D44" s="364"/>
      <c r="E44" s="364"/>
    </row>
    <row r="45" spans="2:6" ht="13.5" thickBot="1">
      <c r="B45" s="88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7">
        <v>449.78050000000002</v>
      </c>
      <c r="E47" s="149">
        <v>441.53050000000002</v>
      </c>
    </row>
    <row r="48" spans="2:6">
      <c r="B48" s="123" t="s">
        <v>6</v>
      </c>
      <c r="C48" s="22" t="s">
        <v>41</v>
      </c>
      <c r="D48" s="207">
        <v>441.53050000000002</v>
      </c>
      <c r="E48" s="291">
        <v>416.29250000000002</v>
      </c>
    </row>
    <row r="49" spans="2:5">
      <c r="B49" s="120" t="s">
        <v>23</v>
      </c>
      <c r="C49" s="124" t="s">
        <v>113</v>
      </c>
      <c r="D49" s="208"/>
      <c r="E49" s="149"/>
    </row>
    <row r="50" spans="2:5">
      <c r="B50" s="102" t="s">
        <v>4</v>
      </c>
      <c r="C50" s="15" t="s">
        <v>40</v>
      </c>
      <c r="D50" s="207">
        <v>127.35</v>
      </c>
      <c r="E50" s="149">
        <v>109.45</v>
      </c>
    </row>
    <row r="51" spans="2:5">
      <c r="B51" s="102" t="s">
        <v>6</v>
      </c>
      <c r="C51" s="15" t="s">
        <v>114</v>
      </c>
      <c r="D51" s="207">
        <v>108.04</v>
      </c>
      <c r="E51" s="75">
        <v>108.74</v>
      </c>
    </row>
    <row r="52" spans="2:5">
      <c r="B52" s="102" t="s">
        <v>8</v>
      </c>
      <c r="C52" s="15" t="s">
        <v>115</v>
      </c>
      <c r="D52" s="207">
        <v>133.47</v>
      </c>
      <c r="E52" s="75">
        <v>131.46</v>
      </c>
    </row>
    <row r="53" spans="2:5" ht="12.75" customHeight="1" thickBot="1">
      <c r="B53" s="103" t="s">
        <v>9</v>
      </c>
      <c r="C53" s="17" t="s">
        <v>41</v>
      </c>
      <c r="D53" s="209">
        <v>109.45</v>
      </c>
      <c r="E53" s="292">
        <v>131.31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7.2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54663.37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54663.37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54663.37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54663.37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9" right="0.75" top="0.61" bottom="0.52" header="0.5" footer="0.5"/>
  <pageSetup paperSize="9" scale="70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2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87"/>
      <c r="C4" s="87"/>
      <c r="D4" s="87"/>
      <c r="E4" s="87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158</v>
      </c>
      <c r="C6" s="359"/>
      <c r="D6" s="359"/>
      <c r="E6" s="359"/>
    </row>
    <row r="7" spans="2:7" ht="14.25">
      <c r="B7" s="89"/>
      <c r="C7" s="89"/>
      <c r="D7" s="89"/>
      <c r="E7" s="89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88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121378.68</v>
      </c>
      <c r="E11" s="244">
        <f>SUM(E12:E14)</f>
        <v>131110.59</v>
      </c>
    </row>
    <row r="12" spans="2:7">
      <c r="B12" s="106" t="s">
        <v>4</v>
      </c>
      <c r="C12" s="6" t="s">
        <v>5</v>
      </c>
      <c r="D12" s="283">
        <v>121378.68</v>
      </c>
      <c r="E12" s="304">
        <v>131110.59</v>
      </c>
    </row>
    <row r="13" spans="2:7">
      <c r="B13" s="106" t="s">
        <v>6</v>
      </c>
      <c r="C13" s="68" t="s">
        <v>7</v>
      </c>
      <c r="D13" s="276"/>
      <c r="E13" s="305"/>
    </row>
    <row r="14" spans="2:7">
      <c r="B14" s="106" t="s">
        <v>8</v>
      </c>
      <c r="C14" s="68" t="s">
        <v>10</v>
      </c>
      <c r="D14" s="276"/>
      <c r="E14" s="305"/>
    </row>
    <row r="15" spans="2:7">
      <c r="B15" s="106" t="s">
        <v>106</v>
      </c>
      <c r="C15" s="68" t="s">
        <v>11</v>
      </c>
      <c r="D15" s="276"/>
      <c r="E15" s="305"/>
    </row>
    <row r="16" spans="2:7">
      <c r="B16" s="107" t="s">
        <v>107</v>
      </c>
      <c r="C16" s="91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06" t="s">
        <v>4</v>
      </c>
      <c r="C18" s="6" t="s">
        <v>11</v>
      </c>
      <c r="D18" s="278"/>
      <c r="E18" s="306"/>
    </row>
    <row r="19" spans="2:6" ht="15" customHeight="1">
      <c r="B19" s="106" t="s">
        <v>6</v>
      </c>
      <c r="C19" s="68" t="s">
        <v>108</v>
      </c>
      <c r="D19" s="276"/>
      <c r="E19" s="305"/>
    </row>
    <row r="20" spans="2:6" ht="13.5" thickBot="1">
      <c r="B20" s="108" t="s">
        <v>8</v>
      </c>
      <c r="C20" s="69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121378.68</v>
      </c>
      <c r="E21" s="148">
        <f>E11-E17</f>
        <v>131110.59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69"/>
      <c r="D23" s="369"/>
      <c r="E23" s="369"/>
    </row>
    <row r="24" spans="2:6" ht="15.75" customHeight="1" thickBot="1">
      <c r="B24" s="360" t="s">
        <v>105</v>
      </c>
      <c r="C24" s="370"/>
      <c r="D24" s="370"/>
      <c r="E24" s="370"/>
    </row>
    <row r="25" spans="2:6" ht="13.5" thickBot="1">
      <c r="B25" s="88"/>
      <c r="C25" s="5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219107</v>
      </c>
      <c r="E26" s="231">
        <f>D21</f>
        <v>121378.68</v>
      </c>
    </row>
    <row r="27" spans="2:6">
      <c r="B27" s="9" t="s">
        <v>17</v>
      </c>
      <c r="C27" s="10" t="s">
        <v>111</v>
      </c>
      <c r="D27" s="202">
        <v>-82014.729999999981</v>
      </c>
      <c r="E27" s="224">
        <v>-2046.67</v>
      </c>
      <c r="F27" s="71"/>
    </row>
    <row r="28" spans="2:6">
      <c r="B28" s="9" t="s">
        <v>18</v>
      </c>
      <c r="C28" s="10" t="s">
        <v>19</v>
      </c>
      <c r="D28" s="202">
        <v>140337.72</v>
      </c>
      <c r="E28" s="225">
        <v>0</v>
      </c>
      <c r="F28" s="71"/>
    </row>
    <row r="29" spans="2:6">
      <c r="B29" s="104" t="s">
        <v>4</v>
      </c>
      <c r="C29" s="6" t="s">
        <v>20</v>
      </c>
      <c r="D29" s="203"/>
      <c r="E29" s="226"/>
      <c r="F29" s="71"/>
    </row>
    <row r="30" spans="2:6">
      <c r="B30" s="104" t="s">
        <v>6</v>
      </c>
      <c r="C30" s="6" t="s">
        <v>21</v>
      </c>
      <c r="D30" s="203"/>
      <c r="E30" s="226"/>
      <c r="F30" s="71"/>
    </row>
    <row r="31" spans="2:6">
      <c r="B31" s="104" t="s">
        <v>8</v>
      </c>
      <c r="C31" s="6" t="s">
        <v>22</v>
      </c>
      <c r="D31" s="203">
        <v>140337.72</v>
      </c>
      <c r="E31" s="226"/>
      <c r="F31" s="71"/>
    </row>
    <row r="32" spans="2:6">
      <c r="B32" s="92" t="s">
        <v>23</v>
      </c>
      <c r="C32" s="11" t="s">
        <v>24</v>
      </c>
      <c r="D32" s="202">
        <v>222352.44999999998</v>
      </c>
      <c r="E32" s="225">
        <v>2046.67</v>
      </c>
      <c r="F32" s="71"/>
    </row>
    <row r="33" spans="2:6">
      <c r="B33" s="104" t="s">
        <v>4</v>
      </c>
      <c r="C33" s="6" t="s">
        <v>25</v>
      </c>
      <c r="D33" s="203"/>
      <c r="E33" s="226"/>
      <c r="F33" s="71"/>
    </row>
    <row r="34" spans="2:6">
      <c r="B34" s="104" t="s">
        <v>6</v>
      </c>
      <c r="C34" s="6" t="s">
        <v>26</v>
      </c>
      <c r="D34" s="203"/>
      <c r="E34" s="226"/>
      <c r="F34" s="71"/>
    </row>
    <row r="35" spans="2:6">
      <c r="B35" s="104" t="s">
        <v>8</v>
      </c>
      <c r="C35" s="6" t="s">
        <v>27</v>
      </c>
      <c r="D35" s="203"/>
      <c r="E35" s="226"/>
      <c r="F35" s="71"/>
    </row>
    <row r="36" spans="2:6">
      <c r="B36" s="104" t="s">
        <v>9</v>
      </c>
      <c r="C36" s="6" t="s">
        <v>28</v>
      </c>
      <c r="D36" s="203"/>
      <c r="E36" s="226"/>
      <c r="F36" s="71"/>
    </row>
    <row r="37" spans="2:6" ht="25.5">
      <c r="B37" s="104" t="s">
        <v>29</v>
      </c>
      <c r="C37" s="6" t="s">
        <v>30</v>
      </c>
      <c r="D37" s="203">
        <v>1046.8699999999999</v>
      </c>
      <c r="E37" s="226">
        <v>2046.67</v>
      </c>
      <c r="F37" s="71"/>
    </row>
    <row r="38" spans="2:6">
      <c r="B38" s="104" t="s">
        <v>31</v>
      </c>
      <c r="C38" s="6" t="s">
        <v>32</v>
      </c>
      <c r="D38" s="203"/>
      <c r="E38" s="226"/>
      <c r="F38" s="71"/>
    </row>
    <row r="39" spans="2:6">
      <c r="B39" s="105" t="s">
        <v>33</v>
      </c>
      <c r="C39" s="12" t="s">
        <v>34</v>
      </c>
      <c r="D39" s="204">
        <v>221305.58</v>
      </c>
      <c r="E39" s="227"/>
      <c r="F39" s="71"/>
    </row>
    <row r="40" spans="2:6" ht="13.5" thickBot="1">
      <c r="B40" s="97" t="s">
        <v>35</v>
      </c>
      <c r="C40" s="98" t="s">
        <v>36</v>
      </c>
      <c r="D40" s="205">
        <v>-15713.59</v>
      </c>
      <c r="E40" s="232">
        <v>11778.58</v>
      </c>
    </row>
    <row r="41" spans="2:6" ht="13.5" thickBot="1">
      <c r="B41" s="99" t="s">
        <v>37</v>
      </c>
      <c r="C41" s="100" t="s">
        <v>38</v>
      </c>
      <c r="D41" s="206">
        <v>121378.68000000002</v>
      </c>
      <c r="E41" s="148">
        <f>E26+E27+E40</f>
        <v>131110.59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63"/>
      <c r="D43" s="363"/>
      <c r="E43" s="363"/>
    </row>
    <row r="44" spans="2:6" ht="18" customHeight="1" thickBot="1">
      <c r="B44" s="360" t="s">
        <v>121</v>
      </c>
      <c r="C44" s="364"/>
      <c r="D44" s="364"/>
      <c r="E44" s="364"/>
    </row>
    <row r="45" spans="2:6" ht="13.5" thickBot="1">
      <c r="B45" s="88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7">
        <v>2168.7321000000002</v>
      </c>
      <c r="E47" s="73">
        <v>1400.4694</v>
      </c>
    </row>
    <row r="48" spans="2:6">
      <c r="B48" s="123" t="s">
        <v>6</v>
      </c>
      <c r="C48" s="22" t="s">
        <v>41</v>
      </c>
      <c r="D48" s="207">
        <v>1400.4694</v>
      </c>
      <c r="E48" s="303">
        <v>1378.2255</v>
      </c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02" t="s">
        <v>4</v>
      </c>
      <c r="C50" s="15" t="s">
        <v>40</v>
      </c>
      <c r="D50" s="207">
        <v>101.03</v>
      </c>
      <c r="E50" s="75">
        <v>86.67</v>
      </c>
    </row>
    <row r="51" spans="2:5">
      <c r="B51" s="102" t="s">
        <v>6</v>
      </c>
      <c r="C51" s="15" t="s">
        <v>114</v>
      </c>
      <c r="D51" s="207">
        <v>86.51</v>
      </c>
      <c r="E51" s="75">
        <v>86.58</v>
      </c>
    </row>
    <row r="52" spans="2:5">
      <c r="B52" s="102" t="s">
        <v>8</v>
      </c>
      <c r="C52" s="15" t="s">
        <v>115</v>
      </c>
      <c r="D52" s="207">
        <v>103.7</v>
      </c>
      <c r="E52" s="75">
        <v>95.76</v>
      </c>
    </row>
    <row r="53" spans="2:5" ht="12.75" customHeight="1" thickBot="1">
      <c r="B53" s="103" t="s">
        <v>9</v>
      </c>
      <c r="C53" s="17" t="s">
        <v>41</v>
      </c>
      <c r="D53" s="209">
        <v>86.67</v>
      </c>
      <c r="E53" s="292">
        <v>95.13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8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131110.59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131110.59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131110.59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131110.59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3"/>
  <dimension ref="A1:F81"/>
  <sheetViews>
    <sheetView zoomScale="80" zoomScaleNormal="80" workbookViewId="0">
      <selection activeCell="G1" sqref="G1:O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147"/>
      <c r="C4" s="147"/>
      <c r="D4" s="147"/>
      <c r="E4" s="147"/>
    </row>
    <row r="5" spans="2:5" ht="14.25">
      <c r="B5" s="358" t="s">
        <v>1</v>
      </c>
      <c r="C5" s="358"/>
      <c r="D5" s="358"/>
      <c r="E5" s="358"/>
    </row>
    <row r="6" spans="2:5" ht="14.25">
      <c r="B6" s="359" t="s">
        <v>159</v>
      </c>
      <c r="C6" s="359"/>
      <c r="D6" s="359"/>
      <c r="E6" s="359"/>
    </row>
    <row r="7" spans="2:5" ht="14.25">
      <c r="B7" s="150"/>
      <c r="C7" s="150"/>
      <c r="D7" s="150"/>
      <c r="E7" s="150"/>
    </row>
    <row r="8" spans="2:5" ht="13.5">
      <c r="B8" s="361" t="s">
        <v>18</v>
      </c>
      <c r="C8" s="363"/>
      <c r="D8" s="363"/>
      <c r="E8" s="363"/>
    </row>
    <row r="9" spans="2:5" ht="16.5" thickBot="1">
      <c r="B9" s="360" t="s">
        <v>103</v>
      </c>
      <c r="C9" s="360"/>
      <c r="D9" s="360"/>
      <c r="E9" s="360"/>
    </row>
    <row r="10" spans="2:5" ht="13.5" thickBot="1">
      <c r="B10" s="151"/>
      <c r="C10" s="76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28" t="s">
        <v>109</v>
      </c>
      <c r="D11" s="243">
        <v>35242.28</v>
      </c>
      <c r="E11" s="244">
        <f>SUM(E12:E14)</f>
        <v>38484.19</v>
      </c>
    </row>
    <row r="12" spans="2:5">
      <c r="B12" s="106" t="s">
        <v>4</v>
      </c>
      <c r="C12" s="6" t="s">
        <v>5</v>
      </c>
      <c r="D12" s="283">
        <v>35242.28</v>
      </c>
      <c r="E12" s="304">
        <v>38484.19</v>
      </c>
    </row>
    <row r="13" spans="2:5">
      <c r="B13" s="106" t="s">
        <v>6</v>
      </c>
      <c r="C13" s="68" t="s">
        <v>7</v>
      </c>
      <c r="D13" s="276"/>
      <c r="E13" s="305"/>
    </row>
    <row r="14" spans="2:5">
      <c r="B14" s="106" t="s">
        <v>8</v>
      </c>
      <c r="C14" s="68" t="s">
        <v>10</v>
      </c>
      <c r="D14" s="276"/>
      <c r="E14" s="305"/>
    </row>
    <row r="15" spans="2:5">
      <c r="B15" s="106" t="s">
        <v>106</v>
      </c>
      <c r="C15" s="68" t="s">
        <v>11</v>
      </c>
      <c r="D15" s="276"/>
      <c r="E15" s="305"/>
    </row>
    <row r="16" spans="2:5">
      <c r="B16" s="107" t="s">
        <v>107</v>
      </c>
      <c r="C16" s="91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06" t="s">
        <v>4</v>
      </c>
      <c r="C18" s="6" t="s">
        <v>11</v>
      </c>
      <c r="D18" s="278"/>
      <c r="E18" s="306"/>
    </row>
    <row r="19" spans="2:6" ht="15" customHeight="1">
      <c r="B19" s="106" t="s">
        <v>6</v>
      </c>
      <c r="C19" s="68" t="s">
        <v>108</v>
      </c>
      <c r="D19" s="276"/>
      <c r="E19" s="305"/>
    </row>
    <row r="20" spans="2:6" ht="13.5" thickBot="1">
      <c r="B20" s="108" t="s">
        <v>8</v>
      </c>
      <c r="C20" s="69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35242.28</v>
      </c>
      <c r="E21" s="148">
        <f>E11-E17</f>
        <v>38484.19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69"/>
      <c r="D23" s="369"/>
      <c r="E23" s="369"/>
    </row>
    <row r="24" spans="2:6" ht="15.75" customHeight="1" thickBot="1">
      <c r="B24" s="360" t="s">
        <v>105</v>
      </c>
      <c r="C24" s="370"/>
      <c r="D24" s="370"/>
      <c r="E24" s="370"/>
    </row>
    <row r="25" spans="2:6" ht="13.5" thickBot="1">
      <c r="B25" s="151"/>
      <c r="C25" s="5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46995.21</v>
      </c>
      <c r="E26" s="231">
        <f>D21</f>
        <v>35242.28</v>
      </c>
    </row>
    <row r="27" spans="2:6">
      <c r="B27" s="9" t="s">
        <v>17</v>
      </c>
      <c r="C27" s="10" t="s">
        <v>111</v>
      </c>
      <c r="D27" s="202">
        <v>-798.41</v>
      </c>
      <c r="E27" s="224">
        <v>-689.3</v>
      </c>
      <c r="F27" s="71"/>
    </row>
    <row r="28" spans="2:6">
      <c r="B28" s="9" t="s">
        <v>18</v>
      </c>
      <c r="C28" s="10" t="s">
        <v>19</v>
      </c>
      <c r="D28" s="202">
        <v>0</v>
      </c>
      <c r="E28" s="225">
        <v>0</v>
      </c>
      <c r="F28" s="71"/>
    </row>
    <row r="29" spans="2:6">
      <c r="B29" s="104" t="s">
        <v>4</v>
      </c>
      <c r="C29" s="6" t="s">
        <v>20</v>
      </c>
      <c r="D29" s="203"/>
      <c r="E29" s="226"/>
      <c r="F29" s="71"/>
    </row>
    <row r="30" spans="2:6">
      <c r="B30" s="104" t="s">
        <v>6</v>
      </c>
      <c r="C30" s="6" t="s">
        <v>21</v>
      </c>
      <c r="D30" s="203"/>
      <c r="E30" s="226"/>
      <c r="F30" s="71"/>
    </row>
    <row r="31" spans="2:6">
      <c r="B31" s="104" t="s">
        <v>8</v>
      </c>
      <c r="C31" s="6" t="s">
        <v>22</v>
      </c>
      <c r="D31" s="203"/>
      <c r="E31" s="226"/>
      <c r="F31" s="71"/>
    </row>
    <row r="32" spans="2:6">
      <c r="B32" s="92" t="s">
        <v>23</v>
      </c>
      <c r="C32" s="11" t="s">
        <v>24</v>
      </c>
      <c r="D32" s="202">
        <v>798.41</v>
      </c>
      <c r="E32" s="225">
        <v>689.3</v>
      </c>
      <c r="F32" s="71"/>
    </row>
    <row r="33" spans="2:6">
      <c r="B33" s="104" t="s">
        <v>4</v>
      </c>
      <c r="C33" s="6" t="s">
        <v>25</v>
      </c>
      <c r="D33" s="203"/>
      <c r="E33" s="226"/>
      <c r="F33" s="71"/>
    </row>
    <row r="34" spans="2:6">
      <c r="B34" s="104" t="s">
        <v>6</v>
      </c>
      <c r="C34" s="6" t="s">
        <v>26</v>
      </c>
      <c r="D34" s="203"/>
      <c r="E34" s="226"/>
      <c r="F34" s="71"/>
    </row>
    <row r="35" spans="2:6">
      <c r="B35" s="104" t="s">
        <v>8</v>
      </c>
      <c r="C35" s="6" t="s">
        <v>27</v>
      </c>
      <c r="D35" s="203">
        <v>61.55</v>
      </c>
      <c r="E35" s="226">
        <v>61.3</v>
      </c>
      <c r="F35" s="71"/>
    </row>
    <row r="36" spans="2:6">
      <c r="B36" s="104" t="s">
        <v>9</v>
      </c>
      <c r="C36" s="6" t="s">
        <v>28</v>
      </c>
      <c r="D36" s="203"/>
      <c r="E36" s="226"/>
      <c r="F36" s="71"/>
    </row>
    <row r="37" spans="2:6" ht="25.5">
      <c r="B37" s="104" t="s">
        <v>29</v>
      </c>
      <c r="C37" s="6" t="s">
        <v>30</v>
      </c>
      <c r="D37" s="203">
        <v>736.86</v>
      </c>
      <c r="E37" s="226">
        <v>628</v>
      </c>
      <c r="F37" s="71"/>
    </row>
    <row r="38" spans="2:6">
      <c r="B38" s="104" t="s">
        <v>31</v>
      </c>
      <c r="C38" s="6" t="s">
        <v>32</v>
      </c>
      <c r="D38" s="203"/>
      <c r="E38" s="226"/>
      <c r="F38" s="71"/>
    </row>
    <row r="39" spans="2:6">
      <c r="B39" s="105" t="s">
        <v>33</v>
      </c>
      <c r="C39" s="12" t="s">
        <v>34</v>
      </c>
      <c r="D39" s="204"/>
      <c r="E39" s="227"/>
      <c r="F39" s="71"/>
    </row>
    <row r="40" spans="2:6" ht="13.5" thickBot="1">
      <c r="B40" s="97" t="s">
        <v>35</v>
      </c>
      <c r="C40" s="98" t="s">
        <v>36</v>
      </c>
      <c r="D40" s="205">
        <v>-10954.52</v>
      </c>
      <c r="E40" s="232">
        <v>3931.21</v>
      </c>
    </row>
    <row r="41" spans="2:6" ht="13.5" thickBot="1">
      <c r="B41" s="99" t="s">
        <v>37</v>
      </c>
      <c r="C41" s="100" t="s">
        <v>38</v>
      </c>
      <c r="D41" s="206">
        <v>35242.28</v>
      </c>
      <c r="E41" s="148">
        <f>E26+E27+E40</f>
        <v>38484.189999999995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63"/>
      <c r="D43" s="363"/>
      <c r="E43" s="363"/>
    </row>
    <row r="44" spans="2:6" ht="18" customHeight="1" thickBot="1">
      <c r="B44" s="360" t="s">
        <v>121</v>
      </c>
      <c r="C44" s="364"/>
      <c r="D44" s="364"/>
      <c r="E44" s="364"/>
    </row>
    <row r="45" spans="2:6" ht="13.5" thickBot="1">
      <c r="B45" s="151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7">
        <v>407.37869999999998</v>
      </c>
      <c r="E47" s="73">
        <v>399.93509999999998</v>
      </c>
    </row>
    <row r="48" spans="2:6">
      <c r="B48" s="123" t="s">
        <v>6</v>
      </c>
      <c r="C48" s="22" t="s">
        <v>41</v>
      </c>
      <c r="D48" s="207">
        <v>399.93509999999998</v>
      </c>
      <c r="E48" s="303">
        <v>392.53559999999999</v>
      </c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02" t="s">
        <v>4</v>
      </c>
      <c r="C50" s="15" t="s">
        <v>40</v>
      </c>
      <c r="D50" s="207">
        <v>115.36</v>
      </c>
      <c r="E50" s="75">
        <v>88.12</v>
      </c>
    </row>
    <row r="51" spans="2:5">
      <c r="B51" s="102" t="s">
        <v>6</v>
      </c>
      <c r="C51" s="15" t="s">
        <v>114</v>
      </c>
      <c r="D51" s="207">
        <v>87.54</v>
      </c>
      <c r="E51" s="75">
        <v>87.19</v>
      </c>
    </row>
    <row r="52" spans="2:5">
      <c r="B52" s="102" t="s">
        <v>8</v>
      </c>
      <c r="C52" s="15" t="s">
        <v>115</v>
      </c>
      <c r="D52" s="207">
        <v>125.68</v>
      </c>
      <c r="E52" s="75">
        <v>99.11</v>
      </c>
    </row>
    <row r="53" spans="2:5" ht="13.5" thickBot="1">
      <c r="B53" s="103" t="s">
        <v>9</v>
      </c>
      <c r="C53" s="17" t="s">
        <v>41</v>
      </c>
      <c r="D53" s="209">
        <v>88.12</v>
      </c>
      <c r="E53" s="292">
        <v>98.04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4.25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38484.19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38484.19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38484.19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38484.19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"/>
  <dimension ref="A1:F81"/>
  <sheetViews>
    <sheetView zoomScale="80" zoomScaleNormal="80" workbookViewId="0">
      <selection activeCell="G1" sqref="G1:M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6">
      <c r="B1" s="1"/>
      <c r="C1" s="1"/>
      <c r="D1" s="2"/>
      <c r="E1" s="2"/>
    </row>
    <row r="2" spans="2:6" ht="15.75">
      <c r="B2" s="357" t="s">
        <v>0</v>
      </c>
      <c r="C2" s="357"/>
      <c r="D2" s="357"/>
      <c r="E2" s="357"/>
    </row>
    <row r="3" spans="2:6" ht="15.75">
      <c r="B3" s="357" t="s">
        <v>267</v>
      </c>
      <c r="C3" s="357"/>
      <c r="D3" s="357"/>
      <c r="E3" s="357"/>
    </row>
    <row r="4" spans="2:6" ht="15">
      <c r="B4" s="147"/>
      <c r="C4" s="147"/>
      <c r="D4" s="147"/>
      <c r="E4" s="147"/>
    </row>
    <row r="5" spans="2:6" ht="14.25">
      <c r="B5" s="358" t="s">
        <v>1</v>
      </c>
      <c r="C5" s="358"/>
      <c r="D5" s="358"/>
      <c r="E5" s="358"/>
    </row>
    <row r="6" spans="2:6" ht="14.25">
      <c r="B6" s="359" t="s">
        <v>160</v>
      </c>
      <c r="C6" s="359"/>
      <c r="D6" s="359"/>
      <c r="E6" s="359"/>
    </row>
    <row r="7" spans="2:6" ht="14.25">
      <c r="B7" s="150"/>
      <c r="C7" s="150"/>
      <c r="D7" s="150"/>
      <c r="E7" s="150"/>
    </row>
    <row r="8" spans="2:6" ht="13.5">
      <c r="B8" s="361" t="s">
        <v>18</v>
      </c>
      <c r="C8" s="363"/>
      <c r="D8" s="363"/>
      <c r="E8" s="363"/>
    </row>
    <row r="9" spans="2:6" ht="16.5" thickBot="1">
      <c r="B9" s="360" t="s">
        <v>103</v>
      </c>
      <c r="C9" s="360"/>
      <c r="D9" s="360"/>
      <c r="E9" s="360"/>
    </row>
    <row r="10" spans="2:6" ht="13.5" thickBot="1">
      <c r="B10" s="151"/>
      <c r="C10" s="76" t="s">
        <v>2</v>
      </c>
      <c r="D10" s="70" t="s">
        <v>125</v>
      </c>
      <c r="E10" s="319" t="s">
        <v>268</v>
      </c>
    </row>
    <row r="11" spans="2:6">
      <c r="B11" s="90" t="s">
        <v>3</v>
      </c>
      <c r="C11" s="128" t="s">
        <v>109</v>
      </c>
      <c r="D11" s="243">
        <v>268396.09000000003</v>
      </c>
      <c r="E11" s="244">
        <f>SUM(E12:E14)</f>
        <v>380746.27</v>
      </c>
      <c r="F11" s="173"/>
    </row>
    <row r="12" spans="2:6">
      <c r="B12" s="174" t="s">
        <v>4</v>
      </c>
      <c r="C12" s="175" t="s">
        <v>5</v>
      </c>
      <c r="D12" s="283">
        <v>268396.09000000003</v>
      </c>
      <c r="E12" s="304">
        <f>384634.62-3888.35</f>
        <v>380746.27</v>
      </c>
      <c r="F12" s="173"/>
    </row>
    <row r="13" spans="2:6">
      <c r="B13" s="174" t="s">
        <v>6</v>
      </c>
      <c r="C13" s="176" t="s">
        <v>7</v>
      </c>
      <c r="D13" s="276"/>
      <c r="E13" s="305"/>
      <c r="F13" s="173"/>
    </row>
    <row r="14" spans="2:6">
      <c r="B14" s="174" t="s">
        <v>8</v>
      </c>
      <c r="C14" s="176" t="s">
        <v>10</v>
      </c>
      <c r="D14" s="276"/>
      <c r="E14" s="305"/>
      <c r="F14" s="173"/>
    </row>
    <row r="15" spans="2:6">
      <c r="B15" s="174" t="s">
        <v>106</v>
      </c>
      <c r="C15" s="176" t="s">
        <v>11</v>
      </c>
      <c r="D15" s="276"/>
      <c r="E15" s="305"/>
      <c r="F15" s="173"/>
    </row>
    <row r="16" spans="2:6">
      <c r="B16" s="177" t="s">
        <v>107</v>
      </c>
      <c r="C16" s="178" t="s">
        <v>12</v>
      </c>
      <c r="D16" s="278"/>
      <c r="E16" s="306"/>
      <c r="F16" s="173"/>
    </row>
    <row r="17" spans="2:6">
      <c r="B17" s="9" t="s">
        <v>13</v>
      </c>
      <c r="C17" s="11" t="s">
        <v>65</v>
      </c>
      <c r="D17" s="279"/>
      <c r="E17" s="307"/>
      <c r="F17" s="173"/>
    </row>
    <row r="18" spans="2:6">
      <c r="B18" s="174" t="s">
        <v>4</v>
      </c>
      <c r="C18" s="175" t="s">
        <v>11</v>
      </c>
      <c r="D18" s="278"/>
      <c r="E18" s="306"/>
      <c r="F18" s="173"/>
    </row>
    <row r="19" spans="2:6" ht="15" customHeight="1">
      <c r="B19" s="174" t="s">
        <v>6</v>
      </c>
      <c r="C19" s="176" t="s">
        <v>108</v>
      </c>
      <c r="D19" s="276"/>
      <c r="E19" s="305"/>
      <c r="F19" s="173"/>
    </row>
    <row r="20" spans="2:6" ht="13.5" thickBot="1">
      <c r="B20" s="179" t="s">
        <v>8</v>
      </c>
      <c r="C20" s="180" t="s">
        <v>14</v>
      </c>
      <c r="D20" s="245"/>
      <c r="E20" s="246"/>
      <c r="F20" s="173"/>
    </row>
    <row r="21" spans="2:6" ht="13.5" thickBot="1">
      <c r="B21" s="367" t="s">
        <v>110</v>
      </c>
      <c r="C21" s="368"/>
      <c r="D21" s="247">
        <v>268396.09000000003</v>
      </c>
      <c r="E21" s="148">
        <f>E11-E17</f>
        <v>380746.27</v>
      </c>
      <c r="F21" s="152"/>
    </row>
    <row r="22" spans="2:6">
      <c r="B22" s="3"/>
      <c r="C22" s="7"/>
      <c r="D22" s="8"/>
      <c r="E22" s="8"/>
      <c r="F22" s="173"/>
    </row>
    <row r="23" spans="2:6" ht="13.5">
      <c r="B23" s="361" t="s">
        <v>104</v>
      </c>
      <c r="C23" s="371"/>
      <c r="D23" s="371"/>
      <c r="E23" s="371"/>
      <c r="F23" s="173"/>
    </row>
    <row r="24" spans="2:6" ht="15.75" customHeight="1" thickBot="1">
      <c r="B24" s="360" t="s">
        <v>105</v>
      </c>
      <c r="C24" s="372"/>
      <c r="D24" s="372"/>
      <c r="E24" s="372"/>
      <c r="F24" s="173"/>
    </row>
    <row r="25" spans="2:6" ht="13.5" thickBot="1">
      <c r="B25" s="171"/>
      <c r="C25" s="181" t="s">
        <v>2</v>
      </c>
      <c r="D25" s="70" t="s">
        <v>125</v>
      </c>
      <c r="E25" s="319" t="s">
        <v>268</v>
      </c>
      <c r="F25" s="173"/>
    </row>
    <row r="26" spans="2:6">
      <c r="B26" s="95" t="s">
        <v>15</v>
      </c>
      <c r="C26" s="96" t="s">
        <v>16</v>
      </c>
      <c r="D26" s="201">
        <v>124639.38</v>
      </c>
      <c r="E26" s="231">
        <f>D21</f>
        <v>268396.09000000003</v>
      </c>
      <c r="F26" s="173"/>
    </row>
    <row r="27" spans="2:6">
      <c r="B27" s="9" t="s">
        <v>17</v>
      </c>
      <c r="C27" s="10" t="s">
        <v>111</v>
      </c>
      <c r="D27" s="202">
        <v>175773.52999999997</v>
      </c>
      <c r="E27" s="224">
        <f>E28-E32</f>
        <v>52927.429999999993</v>
      </c>
      <c r="F27" s="152"/>
    </row>
    <row r="28" spans="2:6">
      <c r="B28" s="9" t="s">
        <v>18</v>
      </c>
      <c r="C28" s="10" t="s">
        <v>19</v>
      </c>
      <c r="D28" s="202">
        <v>265679.84999999998</v>
      </c>
      <c r="E28" s="225">
        <v>258593.15</v>
      </c>
      <c r="F28" s="152"/>
    </row>
    <row r="29" spans="2:6">
      <c r="B29" s="182" t="s">
        <v>4</v>
      </c>
      <c r="C29" s="175" t="s">
        <v>20</v>
      </c>
      <c r="D29" s="203">
        <v>174536.4</v>
      </c>
      <c r="E29" s="226">
        <v>198495.94</v>
      </c>
      <c r="F29" s="152"/>
    </row>
    <row r="30" spans="2:6">
      <c r="B30" s="182" t="s">
        <v>6</v>
      </c>
      <c r="C30" s="175" t="s">
        <v>21</v>
      </c>
      <c r="D30" s="203"/>
      <c r="E30" s="226"/>
      <c r="F30" s="152"/>
    </row>
    <row r="31" spans="2:6">
      <c r="B31" s="182" t="s">
        <v>8</v>
      </c>
      <c r="C31" s="175" t="s">
        <v>22</v>
      </c>
      <c r="D31" s="203">
        <v>91143.45</v>
      </c>
      <c r="E31" s="226">
        <v>60097.21</v>
      </c>
      <c r="F31" s="152"/>
    </row>
    <row r="32" spans="2:6">
      <c r="B32" s="92" t="s">
        <v>23</v>
      </c>
      <c r="C32" s="11" t="s">
        <v>24</v>
      </c>
      <c r="D32" s="202">
        <v>89906.320000000022</v>
      </c>
      <c r="E32" s="225">
        <f>SUM(E33:E39)</f>
        <v>205665.72</v>
      </c>
      <c r="F32" s="152"/>
    </row>
    <row r="33" spans="2:6">
      <c r="B33" s="182" t="s">
        <v>4</v>
      </c>
      <c r="C33" s="175" t="s">
        <v>25</v>
      </c>
      <c r="D33" s="203">
        <v>75976.180000000008</v>
      </c>
      <c r="E33" s="226">
        <f>43563.75+3722.23</f>
        <v>47285.98</v>
      </c>
      <c r="F33" s="152"/>
    </row>
    <row r="34" spans="2:6">
      <c r="B34" s="182" t="s">
        <v>6</v>
      </c>
      <c r="C34" s="175" t="s">
        <v>26</v>
      </c>
      <c r="D34" s="203"/>
      <c r="E34" s="226"/>
      <c r="F34" s="152"/>
    </row>
    <row r="35" spans="2:6">
      <c r="B35" s="182" t="s">
        <v>8</v>
      </c>
      <c r="C35" s="175" t="s">
        <v>27</v>
      </c>
      <c r="D35" s="203">
        <v>10593.16</v>
      </c>
      <c r="E35" s="226">
        <v>12198.35</v>
      </c>
      <c r="F35" s="152"/>
    </row>
    <row r="36" spans="2:6">
      <c r="B36" s="182" t="s">
        <v>9</v>
      </c>
      <c r="C36" s="175" t="s">
        <v>28</v>
      </c>
      <c r="D36" s="203"/>
      <c r="E36" s="226"/>
      <c r="F36" s="152"/>
    </row>
    <row r="37" spans="2:6" ht="25.5">
      <c r="B37" s="182" t="s">
        <v>29</v>
      </c>
      <c r="C37" s="175" t="s">
        <v>30</v>
      </c>
      <c r="D37" s="203">
        <v>1437.49</v>
      </c>
      <c r="E37" s="226">
        <v>2308.1999999999998</v>
      </c>
      <c r="F37" s="152"/>
    </row>
    <row r="38" spans="2:6">
      <c r="B38" s="182" t="s">
        <v>31</v>
      </c>
      <c r="C38" s="175" t="s">
        <v>32</v>
      </c>
      <c r="D38" s="203"/>
      <c r="E38" s="226"/>
      <c r="F38" s="152"/>
    </row>
    <row r="39" spans="2:6">
      <c r="B39" s="183" t="s">
        <v>33</v>
      </c>
      <c r="C39" s="184" t="s">
        <v>34</v>
      </c>
      <c r="D39" s="204">
        <v>1899.49</v>
      </c>
      <c r="E39" s="227">
        <v>143873.19</v>
      </c>
      <c r="F39" s="152"/>
    </row>
    <row r="40" spans="2:6" ht="13.5" thickBot="1">
      <c r="B40" s="97" t="s">
        <v>35</v>
      </c>
      <c r="C40" s="98" t="s">
        <v>36</v>
      </c>
      <c r="D40" s="205">
        <v>-32016.82</v>
      </c>
      <c r="E40" s="232">
        <v>59422.75</v>
      </c>
      <c r="F40" s="173"/>
    </row>
    <row r="41" spans="2:6" ht="13.5" thickBot="1">
      <c r="B41" s="99" t="s">
        <v>37</v>
      </c>
      <c r="C41" s="100" t="s">
        <v>38</v>
      </c>
      <c r="D41" s="206">
        <v>268396.08999999997</v>
      </c>
      <c r="E41" s="148">
        <f>E26+E27+E40</f>
        <v>380746.27</v>
      </c>
      <c r="F41" s="152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63"/>
      <c r="D43" s="363"/>
      <c r="E43" s="363"/>
    </row>
    <row r="44" spans="2:6" ht="18" customHeight="1" thickBot="1">
      <c r="B44" s="360" t="s">
        <v>121</v>
      </c>
      <c r="C44" s="364"/>
      <c r="D44" s="364"/>
      <c r="E44" s="364"/>
    </row>
    <row r="45" spans="2:6" ht="13.5" thickBot="1">
      <c r="B45" s="151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7">
        <v>1039.2677000000001</v>
      </c>
      <c r="E47" s="73">
        <v>2482.39077</v>
      </c>
    </row>
    <row r="48" spans="2:6">
      <c r="B48" s="123" t="s">
        <v>6</v>
      </c>
      <c r="C48" s="22" t="s">
        <v>41</v>
      </c>
      <c r="D48" s="207">
        <v>2482.39077</v>
      </c>
      <c r="E48" s="303">
        <v>2915.3618999999999</v>
      </c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02" t="s">
        <v>4</v>
      </c>
      <c r="C50" s="15" t="s">
        <v>40</v>
      </c>
      <c r="D50" s="207">
        <v>119.93</v>
      </c>
      <c r="E50" s="75">
        <v>108.12</v>
      </c>
    </row>
    <row r="51" spans="2:5">
      <c r="B51" s="102" t="s">
        <v>6</v>
      </c>
      <c r="C51" s="15" t="s">
        <v>114</v>
      </c>
      <c r="D51" s="207">
        <v>108.01</v>
      </c>
      <c r="E51" s="75">
        <v>108.05</v>
      </c>
    </row>
    <row r="52" spans="2:5">
      <c r="B52" s="102" t="s">
        <v>8</v>
      </c>
      <c r="C52" s="15" t="s">
        <v>115</v>
      </c>
      <c r="D52" s="207">
        <v>124.78</v>
      </c>
      <c r="E52" s="75">
        <v>131.15</v>
      </c>
    </row>
    <row r="53" spans="2:5" ht="13.5" thickBot="1">
      <c r="B53" s="103" t="s">
        <v>9</v>
      </c>
      <c r="C53" s="17" t="s">
        <v>41</v>
      </c>
      <c r="D53" s="209">
        <v>108.12</v>
      </c>
      <c r="E53" s="292">
        <v>130.6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4.25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380746.27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E12</f>
        <v>380746.27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0" t="s">
        <v>64</v>
      </c>
      <c r="C74" s="121" t="s">
        <v>66</v>
      </c>
      <c r="D74" s="122">
        <f>D58-D73</f>
        <v>380746.27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380746.27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5"/>
  <dimension ref="A1:F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147"/>
      <c r="C4" s="147"/>
      <c r="D4" s="147"/>
      <c r="E4" s="147"/>
    </row>
    <row r="5" spans="2:5" ht="14.25">
      <c r="B5" s="358" t="s">
        <v>1</v>
      </c>
      <c r="C5" s="358"/>
      <c r="D5" s="358"/>
      <c r="E5" s="358"/>
    </row>
    <row r="6" spans="2:5" ht="14.25">
      <c r="B6" s="359" t="s">
        <v>161</v>
      </c>
      <c r="C6" s="359"/>
      <c r="D6" s="359"/>
      <c r="E6" s="359"/>
    </row>
    <row r="7" spans="2:5" ht="14.25">
      <c r="B7" s="165"/>
      <c r="C7" s="165"/>
      <c r="D7" s="165"/>
      <c r="E7" s="165"/>
    </row>
    <row r="8" spans="2:5" ht="13.5">
      <c r="B8" s="361" t="s">
        <v>18</v>
      </c>
      <c r="C8" s="363"/>
      <c r="D8" s="363"/>
      <c r="E8" s="363"/>
    </row>
    <row r="9" spans="2:5" ht="16.5" thickBot="1">
      <c r="B9" s="360" t="s">
        <v>103</v>
      </c>
      <c r="C9" s="360"/>
      <c r="D9" s="360"/>
      <c r="E9" s="360"/>
    </row>
    <row r="10" spans="2:5" ht="13.5" thickBot="1">
      <c r="B10" s="166"/>
      <c r="C10" s="76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28" t="s">
        <v>109</v>
      </c>
      <c r="D11" s="243">
        <v>116465.2</v>
      </c>
      <c r="E11" s="244">
        <f>SUM(E12:E14)</f>
        <v>157183.93</v>
      </c>
    </row>
    <row r="12" spans="2:5">
      <c r="B12" s="106" t="s">
        <v>4</v>
      </c>
      <c r="C12" s="6" t="s">
        <v>5</v>
      </c>
      <c r="D12" s="283">
        <v>116465.2</v>
      </c>
      <c r="E12" s="304">
        <f>159249.5-2065.57</f>
        <v>157183.93</v>
      </c>
    </row>
    <row r="13" spans="2:5">
      <c r="B13" s="106" t="s">
        <v>6</v>
      </c>
      <c r="C13" s="68" t="s">
        <v>7</v>
      </c>
      <c r="D13" s="276"/>
      <c r="E13" s="305"/>
    </row>
    <row r="14" spans="2:5">
      <c r="B14" s="106" t="s">
        <v>8</v>
      </c>
      <c r="C14" s="68" t="s">
        <v>10</v>
      </c>
      <c r="D14" s="276"/>
      <c r="E14" s="305"/>
    </row>
    <row r="15" spans="2:5">
      <c r="B15" s="106" t="s">
        <v>106</v>
      </c>
      <c r="C15" s="68" t="s">
        <v>11</v>
      </c>
      <c r="D15" s="276"/>
      <c r="E15" s="305"/>
    </row>
    <row r="16" spans="2:5">
      <c r="B16" s="107" t="s">
        <v>107</v>
      </c>
      <c r="C16" s="91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06" t="s">
        <v>4</v>
      </c>
      <c r="C18" s="6" t="s">
        <v>11</v>
      </c>
      <c r="D18" s="278"/>
      <c r="E18" s="306"/>
    </row>
    <row r="19" spans="2:6" ht="15" customHeight="1">
      <c r="B19" s="106" t="s">
        <v>6</v>
      </c>
      <c r="C19" s="68" t="s">
        <v>108</v>
      </c>
      <c r="D19" s="276"/>
      <c r="E19" s="305"/>
    </row>
    <row r="20" spans="2:6" ht="13.5" thickBot="1">
      <c r="B20" s="108" t="s">
        <v>8</v>
      </c>
      <c r="C20" s="69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116465.2</v>
      </c>
      <c r="E21" s="148">
        <f>E11-E17</f>
        <v>157183.93</v>
      </c>
      <c r="F21" s="77"/>
    </row>
    <row r="22" spans="2:6">
      <c r="B22" s="3"/>
      <c r="C22" s="7"/>
      <c r="D22" s="222"/>
      <c r="E22" s="222"/>
    </row>
    <row r="23" spans="2:6" ht="13.5">
      <c r="B23" s="361" t="s">
        <v>104</v>
      </c>
      <c r="C23" s="369"/>
      <c r="D23" s="369"/>
      <c r="E23" s="369"/>
    </row>
    <row r="24" spans="2:6" ht="15.75" customHeight="1" thickBot="1">
      <c r="B24" s="360" t="s">
        <v>105</v>
      </c>
      <c r="C24" s="370"/>
      <c r="D24" s="370"/>
      <c r="E24" s="370"/>
    </row>
    <row r="25" spans="2:6" ht="13.5" thickBot="1">
      <c r="B25" s="166"/>
      <c r="C25" s="5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86900.800000000003</v>
      </c>
      <c r="E26" s="231">
        <f>D21</f>
        <v>116465.2</v>
      </c>
    </row>
    <row r="27" spans="2:6">
      <c r="B27" s="9" t="s">
        <v>17</v>
      </c>
      <c r="C27" s="10" t="s">
        <v>111</v>
      </c>
      <c r="D27" s="202">
        <v>32853.759999999995</v>
      </c>
      <c r="E27" s="224">
        <f>E28-E32</f>
        <v>29152.620000000006</v>
      </c>
      <c r="F27" s="71"/>
    </row>
    <row r="28" spans="2:6">
      <c r="B28" s="9" t="s">
        <v>18</v>
      </c>
      <c r="C28" s="10" t="s">
        <v>19</v>
      </c>
      <c r="D28" s="202">
        <v>42874.81</v>
      </c>
      <c r="E28" s="225">
        <v>51845.850000000006</v>
      </c>
      <c r="F28" s="71"/>
    </row>
    <row r="29" spans="2:6">
      <c r="B29" s="104" t="s">
        <v>4</v>
      </c>
      <c r="C29" s="6" t="s">
        <v>20</v>
      </c>
      <c r="D29" s="203">
        <v>40779.769999999997</v>
      </c>
      <c r="E29" s="226">
        <v>44467.94</v>
      </c>
      <c r="F29" s="71"/>
    </row>
    <row r="30" spans="2:6">
      <c r="B30" s="104" t="s">
        <v>6</v>
      </c>
      <c r="C30" s="6" t="s">
        <v>21</v>
      </c>
      <c r="D30" s="203"/>
      <c r="E30" s="226"/>
      <c r="F30" s="71"/>
    </row>
    <row r="31" spans="2:6">
      <c r="B31" s="104" t="s">
        <v>8</v>
      </c>
      <c r="C31" s="6" t="s">
        <v>22</v>
      </c>
      <c r="D31" s="203">
        <v>2095.04</v>
      </c>
      <c r="E31" s="226">
        <v>7377.91</v>
      </c>
      <c r="F31" s="71"/>
    </row>
    <row r="32" spans="2:6">
      <c r="B32" s="92" t="s">
        <v>23</v>
      </c>
      <c r="C32" s="11" t="s">
        <v>24</v>
      </c>
      <c r="D32" s="202">
        <v>10021.049999999999</v>
      </c>
      <c r="E32" s="225">
        <f>SUM(E33:E39)</f>
        <v>22693.23</v>
      </c>
      <c r="F32" s="71"/>
    </row>
    <row r="33" spans="2:6">
      <c r="B33" s="104" t="s">
        <v>4</v>
      </c>
      <c r="C33" s="6" t="s">
        <v>25</v>
      </c>
      <c r="D33" s="203">
        <v>3491.48</v>
      </c>
      <c r="E33" s="226">
        <f>8958.25+2065.57</f>
        <v>11023.82</v>
      </c>
      <c r="F33" s="71"/>
    </row>
    <row r="34" spans="2:6">
      <c r="B34" s="104" t="s">
        <v>6</v>
      </c>
      <c r="C34" s="6" t="s">
        <v>26</v>
      </c>
      <c r="D34" s="203"/>
      <c r="E34" s="226"/>
      <c r="F34" s="71"/>
    </row>
    <row r="35" spans="2:6">
      <c r="B35" s="104" t="s">
        <v>8</v>
      </c>
      <c r="C35" s="6" t="s">
        <v>27</v>
      </c>
      <c r="D35" s="203">
        <v>3771.18</v>
      </c>
      <c r="E35" s="226">
        <v>4614.16</v>
      </c>
      <c r="F35" s="71"/>
    </row>
    <row r="36" spans="2:6">
      <c r="B36" s="104" t="s">
        <v>9</v>
      </c>
      <c r="C36" s="6" t="s">
        <v>28</v>
      </c>
      <c r="D36" s="203"/>
      <c r="E36" s="226"/>
      <c r="F36" s="71"/>
    </row>
    <row r="37" spans="2:6" ht="25.5">
      <c r="B37" s="104" t="s">
        <v>29</v>
      </c>
      <c r="C37" s="6" t="s">
        <v>30</v>
      </c>
      <c r="D37" s="203">
        <v>684.7</v>
      </c>
      <c r="E37" s="226">
        <v>947.87</v>
      </c>
      <c r="F37" s="71"/>
    </row>
    <row r="38" spans="2:6">
      <c r="B38" s="104" t="s">
        <v>31</v>
      </c>
      <c r="C38" s="6" t="s">
        <v>32</v>
      </c>
      <c r="D38" s="203"/>
      <c r="E38" s="226"/>
      <c r="F38" s="71"/>
    </row>
    <row r="39" spans="2:6">
      <c r="B39" s="105" t="s">
        <v>33</v>
      </c>
      <c r="C39" s="12" t="s">
        <v>34</v>
      </c>
      <c r="D39" s="204">
        <v>2073.69</v>
      </c>
      <c r="E39" s="227">
        <v>6107.38</v>
      </c>
      <c r="F39" s="71"/>
    </row>
    <row r="40" spans="2:6" ht="13.5" thickBot="1">
      <c r="B40" s="97" t="s">
        <v>35</v>
      </c>
      <c r="C40" s="98" t="s">
        <v>36</v>
      </c>
      <c r="D40" s="205">
        <v>-3289.36</v>
      </c>
      <c r="E40" s="232">
        <v>11566.11</v>
      </c>
    </row>
    <row r="41" spans="2:6" ht="13.5" thickBot="1">
      <c r="B41" s="99" t="s">
        <v>37</v>
      </c>
      <c r="C41" s="100" t="s">
        <v>38</v>
      </c>
      <c r="D41" s="206">
        <v>116465.2</v>
      </c>
      <c r="E41" s="148">
        <f>E26+E27+E40</f>
        <v>157183.93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63"/>
      <c r="D43" s="363"/>
      <c r="E43" s="363"/>
    </row>
    <row r="44" spans="2:6" ht="18" customHeight="1" thickBot="1">
      <c r="B44" s="360" t="s">
        <v>121</v>
      </c>
      <c r="C44" s="364"/>
      <c r="D44" s="364"/>
      <c r="E44" s="364"/>
    </row>
    <row r="45" spans="2:6" ht="13.5" thickBot="1">
      <c r="B45" s="166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7">
        <v>817.81290000000001</v>
      </c>
      <c r="E47" s="73">
        <v>1128.1015</v>
      </c>
    </row>
    <row r="48" spans="2:6">
      <c r="B48" s="123" t="s">
        <v>6</v>
      </c>
      <c r="C48" s="22" t="s">
        <v>41</v>
      </c>
      <c r="D48" s="207">
        <v>1128.1015</v>
      </c>
      <c r="E48" s="303">
        <v>1394.8346999999999</v>
      </c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02" t="s">
        <v>4</v>
      </c>
      <c r="C50" s="15" t="s">
        <v>40</v>
      </c>
      <c r="D50" s="207">
        <v>106.26</v>
      </c>
      <c r="E50" s="75">
        <v>103.24</v>
      </c>
    </row>
    <row r="51" spans="2:5">
      <c r="B51" s="102" t="s">
        <v>6</v>
      </c>
      <c r="C51" s="15" t="s">
        <v>114</v>
      </c>
      <c r="D51" s="207">
        <v>103.22</v>
      </c>
      <c r="E51" s="75">
        <v>103.17</v>
      </c>
    </row>
    <row r="52" spans="2:5">
      <c r="B52" s="102" t="s">
        <v>8</v>
      </c>
      <c r="C52" s="15" t="s">
        <v>115</v>
      </c>
      <c r="D52" s="207">
        <v>107.7</v>
      </c>
      <c r="E52" s="75">
        <v>113.27</v>
      </c>
    </row>
    <row r="53" spans="2:5" ht="13.5" thickBot="1">
      <c r="B53" s="103" t="s">
        <v>9</v>
      </c>
      <c r="C53" s="17" t="s">
        <v>41</v>
      </c>
      <c r="D53" s="209">
        <v>103.24</v>
      </c>
      <c r="E53" s="292">
        <v>112.69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4.25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157183.93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157183.93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157183.93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157183.93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6"/>
  <dimension ref="A1:F81"/>
  <sheetViews>
    <sheetView zoomScale="80" zoomScaleNormal="80" workbookViewId="0">
      <selection activeCell="G1" sqref="G1:M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147"/>
      <c r="C4" s="147"/>
      <c r="D4" s="147"/>
      <c r="E4" s="147"/>
    </row>
    <row r="5" spans="2:5" ht="14.25">
      <c r="B5" s="358" t="s">
        <v>1</v>
      </c>
      <c r="C5" s="358"/>
      <c r="D5" s="358"/>
      <c r="E5" s="358"/>
    </row>
    <row r="6" spans="2:5" ht="14.25">
      <c r="B6" s="359" t="s">
        <v>162</v>
      </c>
      <c r="C6" s="359"/>
      <c r="D6" s="359"/>
      <c r="E6" s="359"/>
    </row>
    <row r="7" spans="2:5" ht="14.25">
      <c r="B7" s="165"/>
      <c r="C7" s="165"/>
      <c r="D7" s="165"/>
      <c r="E7" s="165"/>
    </row>
    <row r="8" spans="2:5" ht="13.5">
      <c r="B8" s="361" t="s">
        <v>18</v>
      </c>
      <c r="C8" s="363"/>
      <c r="D8" s="363"/>
      <c r="E8" s="363"/>
    </row>
    <row r="9" spans="2:5" ht="16.5" thickBot="1">
      <c r="B9" s="360" t="s">
        <v>103</v>
      </c>
      <c r="C9" s="360"/>
      <c r="D9" s="360"/>
      <c r="E9" s="360"/>
    </row>
    <row r="10" spans="2:5" ht="13.5" thickBot="1">
      <c r="B10" s="166"/>
      <c r="C10" s="76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28" t="s">
        <v>109</v>
      </c>
      <c r="D11" s="243">
        <v>321448.88</v>
      </c>
      <c r="E11" s="244">
        <f>SUM(E12:E14)</f>
        <v>467420.08</v>
      </c>
    </row>
    <row r="12" spans="2:5">
      <c r="B12" s="106" t="s">
        <v>4</v>
      </c>
      <c r="C12" s="6" t="s">
        <v>5</v>
      </c>
      <c r="D12" s="283">
        <v>321448.88</v>
      </c>
      <c r="E12" s="304">
        <f>472374.56-4954.48</f>
        <v>467420.08</v>
      </c>
    </row>
    <row r="13" spans="2:5">
      <c r="B13" s="106" t="s">
        <v>6</v>
      </c>
      <c r="C13" s="68" t="s">
        <v>7</v>
      </c>
      <c r="D13" s="276"/>
      <c r="E13" s="305"/>
    </row>
    <row r="14" spans="2:5">
      <c r="B14" s="106" t="s">
        <v>8</v>
      </c>
      <c r="C14" s="68" t="s">
        <v>10</v>
      </c>
      <c r="D14" s="276"/>
      <c r="E14" s="305"/>
    </row>
    <row r="15" spans="2:5">
      <c r="B15" s="106" t="s">
        <v>106</v>
      </c>
      <c r="C15" s="68" t="s">
        <v>11</v>
      </c>
      <c r="D15" s="276"/>
      <c r="E15" s="305"/>
    </row>
    <row r="16" spans="2:5">
      <c r="B16" s="107" t="s">
        <v>107</v>
      </c>
      <c r="C16" s="91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06" t="s">
        <v>4</v>
      </c>
      <c r="C18" s="6" t="s">
        <v>11</v>
      </c>
      <c r="D18" s="278"/>
      <c r="E18" s="306"/>
    </row>
    <row r="19" spans="2:6" ht="15" customHeight="1">
      <c r="B19" s="106" t="s">
        <v>6</v>
      </c>
      <c r="C19" s="68" t="s">
        <v>108</v>
      </c>
      <c r="D19" s="276"/>
      <c r="E19" s="305"/>
    </row>
    <row r="20" spans="2:6" ht="13.5" thickBot="1">
      <c r="B20" s="108" t="s">
        <v>8</v>
      </c>
      <c r="C20" s="69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321448.88</v>
      </c>
      <c r="E21" s="148">
        <f>E11-E17</f>
        <v>467420.08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69"/>
      <c r="D23" s="369"/>
      <c r="E23" s="369"/>
    </row>
    <row r="24" spans="2:6" ht="15.75" customHeight="1" thickBot="1">
      <c r="B24" s="360" t="s">
        <v>105</v>
      </c>
      <c r="C24" s="370"/>
      <c r="D24" s="370"/>
      <c r="E24" s="370"/>
    </row>
    <row r="25" spans="2:6" ht="13.5" thickBot="1">
      <c r="B25" s="166"/>
      <c r="C25" s="5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293618.39</v>
      </c>
      <c r="E26" s="231">
        <f>D21</f>
        <v>321448.88</v>
      </c>
    </row>
    <row r="27" spans="2:6">
      <c r="B27" s="9" t="s">
        <v>17</v>
      </c>
      <c r="C27" s="10" t="s">
        <v>111</v>
      </c>
      <c r="D27" s="202">
        <v>57393.119999999981</v>
      </c>
      <c r="E27" s="224">
        <f>E28-E32</f>
        <v>91218.25</v>
      </c>
      <c r="F27" s="71"/>
    </row>
    <row r="28" spans="2:6">
      <c r="B28" s="9" t="s">
        <v>18</v>
      </c>
      <c r="C28" s="10" t="s">
        <v>19</v>
      </c>
      <c r="D28" s="202">
        <v>182625.24</v>
      </c>
      <c r="E28" s="225">
        <v>178756.47</v>
      </c>
      <c r="F28" s="71"/>
    </row>
    <row r="29" spans="2:6">
      <c r="B29" s="104" t="s">
        <v>4</v>
      </c>
      <c r="C29" s="6" t="s">
        <v>20</v>
      </c>
      <c r="D29" s="203">
        <v>106035.72</v>
      </c>
      <c r="E29" s="226">
        <v>120026.49</v>
      </c>
      <c r="F29" s="71"/>
    </row>
    <row r="30" spans="2:6">
      <c r="B30" s="104" t="s">
        <v>6</v>
      </c>
      <c r="C30" s="6" t="s">
        <v>21</v>
      </c>
      <c r="D30" s="203"/>
      <c r="E30" s="226"/>
      <c r="F30" s="71"/>
    </row>
    <row r="31" spans="2:6">
      <c r="B31" s="104" t="s">
        <v>8</v>
      </c>
      <c r="C31" s="6" t="s">
        <v>22</v>
      </c>
      <c r="D31" s="203">
        <v>76589.52</v>
      </c>
      <c r="E31" s="226">
        <v>58729.98</v>
      </c>
      <c r="F31" s="71"/>
    </row>
    <row r="32" spans="2:6">
      <c r="B32" s="92" t="s">
        <v>23</v>
      </c>
      <c r="C32" s="11" t="s">
        <v>24</v>
      </c>
      <c r="D32" s="202">
        <v>125232.12000000001</v>
      </c>
      <c r="E32" s="225">
        <f>SUM(E33:E39)</f>
        <v>87538.22</v>
      </c>
      <c r="F32" s="71"/>
    </row>
    <row r="33" spans="2:6">
      <c r="B33" s="104" t="s">
        <v>4</v>
      </c>
      <c r="C33" s="6" t="s">
        <v>25</v>
      </c>
      <c r="D33" s="203">
        <v>73646.320000000007</v>
      </c>
      <c r="E33" s="226">
        <f>12903.03+4954.48</f>
        <v>17857.510000000002</v>
      </c>
      <c r="F33" s="71"/>
    </row>
    <row r="34" spans="2:6">
      <c r="B34" s="104" t="s">
        <v>6</v>
      </c>
      <c r="C34" s="6" t="s">
        <v>26</v>
      </c>
      <c r="D34" s="203"/>
      <c r="E34" s="226"/>
      <c r="F34" s="71"/>
    </row>
    <row r="35" spans="2:6">
      <c r="B35" s="104" t="s">
        <v>8</v>
      </c>
      <c r="C35" s="6" t="s">
        <v>27</v>
      </c>
      <c r="D35" s="203">
        <v>6597.34</v>
      </c>
      <c r="E35" s="226">
        <v>7971.44</v>
      </c>
      <c r="F35" s="71"/>
    </row>
    <row r="36" spans="2:6">
      <c r="B36" s="104" t="s">
        <v>9</v>
      </c>
      <c r="C36" s="6" t="s">
        <v>28</v>
      </c>
      <c r="D36" s="203"/>
      <c r="E36" s="226"/>
      <c r="F36" s="71"/>
    </row>
    <row r="37" spans="2:6" ht="25.5">
      <c r="B37" s="104" t="s">
        <v>29</v>
      </c>
      <c r="C37" s="6" t="s">
        <v>30</v>
      </c>
      <c r="D37" s="203">
        <v>2089.3000000000002</v>
      </c>
      <c r="E37" s="226">
        <v>2791.89</v>
      </c>
      <c r="F37" s="71"/>
    </row>
    <row r="38" spans="2:6">
      <c r="B38" s="104" t="s">
        <v>31</v>
      </c>
      <c r="C38" s="6" t="s">
        <v>32</v>
      </c>
      <c r="D38" s="203"/>
      <c r="E38" s="226"/>
      <c r="F38" s="71"/>
    </row>
    <row r="39" spans="2:6">
      <c r="B39" s="105" t="s">
        <v>33</v>
      </c>
      <c r="C39" s="12" t="s">
        <v>34</v>
      </c>
      <c r="D39" s="204">
        <v>42899.16</v>
      </c>
      <c r="E39" s="227">
        <v>58917.38</v>
      </c>
      <c r="F39" s="71"/>
    </row>
    <row r="40" spans="2:6" ht="13.5" thickBot="1">
      <c r="B40" s="97" t="s">
        <v>35</v>
      </c>
      <c r="C40" s="98" t="s">
        <v>36</v>
      </c>
      <c r="D40" s="205">
        <v>-29562.63</v>
      </c>
      <c r="E40" s="232">
        <v>54752.95</v>
      </c>
    </row>
    <row r="41" spans="2:6" ht="13.5" thickBot="1">
      <c r="B41" s="99" t="s">
        <v>37</v>
      </c>
      <c r="C41" s="100" t="s">
        <v>38</v>
      </c>
      <c r="D41" s="206">
        <v>321448.88</v>
      </c>
      <c r="E41" s="148">
        <f>E26+E27+E40</f>
        <v>467420.08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63"/>
      <c r="D43" s="363"/>
      <c r="E43" s="363"/>
    </row>
    <row r="44" spans="2:6" ht="18" customHeight="1" thickBot="1">
      <c r="B44" s="360" t="s">
        <v>121</v>
      </c>
      <c r="C44" s="364"/>
      <c r="D44" s="364"/>
      <c r="E44" s="364"/>
    </row>
    <row r="45" spans="2:6" ht="13.5" thickBot="1">
      <c r="B45" s="166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7">
        <v>2594.4895999999999</v>
      </c>
      <c r="E47" s="73">
        <v>3067.2602999999999</v>
      </c>
    </row>
    <row r="48" spans="2:6">
      <c r="B48" s="123" t="s">
        <v>6</v>
      </c>
      <c r="C48" s="22" t="s">
        <v>41</v>
      </c>
      <c r="D48" s="207">
        <v>3067.2602999999999</v>
      </c>
      <c r="E48" s="303">
        <v>3865.5316000000003</v>
      </c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02" t="s">
        <v>4</v>
      </c>
      <c r="C50" s="15" t="s">
        <v>40</v>
      </c>
      <c r="D50" s="207">
        <v>113.17</v>
      </c>
      <c r="E50" s="266">
        <v>104.8</v>
      </c>
    </row>
    <row r="51" spans="2:5">
      <c r="B51" s="102" t="s">
        <v>6</v>
      </c>
      <c r="C51" s="15" t="s">
        <v>114</v>
      </c>
      <c r="D51" s="207">
        <v>104.8</v>
      </c>
      <c r="E51" s="267">
        <v>104.8</v>
      </c>
    </row>
    <row r="52" spans="2:5">
      <c r="B52" s="102" t="s">
        <v>8</v>
      </c>
      <c r="C52" s="15" t="s">
        <v>115</v>
      </c>
      <c r="D52" s="207">
        <v>116.63</v>
      </c>
      <c r="E52" s="267">
        <v>121.36</v>
      </c>
    </row>
    <row r="53" spans="2:5" ht="13.5" thickBot="1">
      <c r="B53" s="103" t="s">
        <v>9</v>
      </c>
      <c r="C53" s="17" t="s">
        <v>41</v>
      </c>
      <c r="D53" s="209">
        <v>104.8</v>
      </c>
      <c r="E53" s="292">
        <v>120.92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4.25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467420.08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467420.08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467420.08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467420.08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7"/>
  <dimension ref="A1:F81"/>
  <sheetViews>
    <sheetView zoomScale="80" zoomScaleNormal="80" workbookViewId="0">
      <selection activeCell="G1" sqref="G1:M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147"/>
      <c r="C4" s="147"/>
      <c r="D4" s="147"/>
      <c r="E4" s="147"/>
    </row>
    <row r="5" spans="2:5" ht="14.25">
      <c r="B5" s="358" t="s">
        <v>1</v>
      </c>
      <c r="C5" s="358"/>
      <c r="D5" s="358"/>
      <c r="E5" s="358"/>
    </row>
    <row r="6" spans="2:5" ht="14.25">
      <c r="B6" s="359" t="s">
        <v>163</v>
      </c>
      <c r="C6" s="359"/>
      <c r="D6" s="359"/>
      <c r="E6" s="359"/>
    </row>
    <row r="7" spans="2:5" ht="14.25">
      <c r="B7" s="150"/>
      <c r="C7" s="150"/>
      <c r="D7" s="150"/>
      <c r="E7" s="150"/>
    </row>
    <row r="8" spans="2:5" ht="13.5">
      <c r="B8" s="361" t="s">
        <v>18</v>
      </c>
      <c r="C8" s="363"/>
      <c r="D8" s="363"/>
      <c r="E8" s="363"/>
    </row>
    <row r="9" spans="2:5" ht="16.5" thickBot="1">
      <c r="B9" s="360" t="s">
        <v>103</v>
      </c>
      <c r="C9" s="360"/>
      <c r="D9" s="360"/>
      <c r="E9" s="360"/>
    </row>
    <row r="10" spans="2:5" ht="13.5" thickBot="1">
      <c r="B10" s="151"/>
      <c r="C10" s="76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28" t="s">
        <v>109</v>
      </c>
      <c r="D11" s="243">
        <v>18463.740000000002</v>
      </c>
      <c r="E11" s="244">
        <f>SUM(E12:E14)</f>
        <v>19504.82</v>
      </c>
    </row>
    <row r="12" spans="2:5">
      <c r="B12" s="106" t="s">
        <v>4</v>
      </c>
      <c r="C12" s="6" t="s">
        <v>5</v>
      </c>
      <c r="D12" s="283">
        <v>18463.740000000002</v>
      </c>
      <c r="E12" s="304">
        <v>19504.82</v>
      </c>
    </row>
    <row r="13" spans="2:5">
      <c r="B13" s="106" t="s">
        <v>6</v>
      </c>
      <c r="C13" s="68" t="s">
        <v>7</v>
      </c>
      <c r="D13" s="276"/>
      <c r="E13" s="305"/>
    </row>
    <row r="14" spans="2:5">
      <c r="B14" s="106" t="s">
        <v>8</v>
      </c>
      <c r="C14" s="68" t="s">
        <v>10</v>
      </c>
      <c r="D14" s="276"/>
      <c r="E14" s="305"/>
    </row>
    <row r="15" spans="2:5">
      <c r="B15" s="106" t="s">
        <v>106</v>
      </c>
      <c r="C15" s="68" t="s">
        <v>11</v>
      </c>
      <c r="D15" s="276"/>
      <c r="E15" s="305"/>
    </row>
    <row r="16" spans="2:5">
      <c r="B16" s="107" t="s">
        <v>107</v>
      </c>
      <c r="C16" s="91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06" t="s">
        <v>4</v>
      </c>
      <c r="C18" s="6" t="s">
        <v>11</v>
      </c>
      <c r="D18" s="278"/>
      <c r="E18" s="306"/>
    </row>
    <row r="19" spans="2:6" ht="15" customHeight="1">
      <c r="B19" s="106" t="s">
        <v>6</v>
      </c>
      <c r="C19" s="68" t="s">
        <v>108</v>
      </c>
      <c r="D19" s="276"/>
      <c r="E19" s="305"/>
    </row>
    <row r="20" spans="2:6" ht="13.5" thickBot="1">
      <c r="B20" s="108" t="s">
        <v>8</v>
      </c>
      <c r="C20" s="69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18463.740000000002</v>
      </c>
      <c r="E21" s="148">
        <f>E11-E17</f>
        <v>19504.82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69"/>
      <c r="D23" s="369"/>
      <c r="E23" s="369"/>
    </row>
    <row r="24" spans="2:6" ht="15.75" customHeight="1" thickBot="1">
      <c r="B24" s="360" t="s">
        <v>105</v>
      </c>
      <c r="C24" s="370"/>
      <c r="D24" s="370"/>
      <c r="E24" s="370"/>
    </row>
    <row r="25" spans="2:6" ht="13.5" thickBot="1">
      <c r="B25" s="151"/>
      <c r="C25" s="5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45466.21</v>
      </c>
      <c r="E26" s="231">
        <f>D21</f>
        <v>18463.740000000002</v>
      </c>
    </row>
    <row r="27" spans="2:6">
      <c r="B27" s="9" t="s">
        <v>17</v>
      </c>
      <c r="C27" s="10" t="s">
        <v>111</v>
      </c>
      <c r="D27" s="202">
        <v>-25541.919999999998</v>
      </c>
      <c r="E27" s="224">
        <v>-488.79</v>
      </c>
      <c r="F27" s="71"/>
    </row>
    <row r="28" spans="2:6">
      <c r="B28" s="9" t="s">
        <v>18</v>
      </c>
      <c r="C28" s="10" t="s">
        <v>19</v>
      </c>
      <c r="D28" s="202">
        <v>0</v>
      </c>
      <c r="E28" s="225">
        <v>0</v>
      </c>
      <c r="F28" s="71"/>
    </row>
    <row r="29" spans="2:6">
      <c r="B29" s="104" t="s">
        <v>4</v>
      </c>
      <c r="C29" s="6" t="s">
        <v>20</v>
      </c>
      <c r="D29" s="203"/>
      <c r="E29" s="226"/>
      <c r="F29" s="71"/>
    </row>
    <row r="30" spans="2:6">
      <c r="B30" s="104" t="s">
        <v>6</v>
      </c>
      <c r="C30" s="6" t="s">
        <v>21</v>
      </c>
      <c r="D30" s="203"/>
      <c r="E30" s="226"/>
      <c r="F30" s="71"/>
    </row>
    <row r="31" spans="2:6">
      <c r="B31" s="104" t="s">
        <v>8</v>
      </c>
      <c r="C31" s="6" t="s">
        <v>22</v>
      </c>
      <c r="D31" s="203"/>
      <c r="E31" s="226"/>
      <c r="F31" s="71"/>
    </row>
    <row r="32" spans="2:6">
      <c r="B32" s="92" t="s">
        <v>23</v>
      </c>
      <c r="C32" s="11" t="s">
        <v>24</v>
      </c>
      <c r="D32" s="202">
        <v>25541.919999999998</v>
      </c>
      <c r="E32" s="225">
        <v>488.79</v>
      </c>
      <c r="F32" s="71"/>
    </row>
    <row r="33" spans="2:6">
      <c r="B33" s="104" t="s">
        <v>4</v>
      </c>
      <c r="C33" s="6" t="s">
        <v>25</v>
      </c>
      <c r="D33" s="203">
        <v>24837.17</v>
      </c>
      <c r="E33" s="226"/>
      <c r="F33" s="71"/>
    </row>
    <row r="34" spans="2:6">
      <c r="B34" s="104" t="s">
        <v>6</v>
      </c>
      <c r="C34" s="6" t="s">
        <v>26</v>
      </c>
      <c r="D34" s="203"/>
      <c r="E34" s="226"/>
      <c r="F34" s="71"/>
    </row>
    <row r="35" spans="2:6">
      <c r="B35" s="104" t="s">
        <v>8</v>
      </c>
      <c r="C35" s="6" t="s">
        <v>27</v>
      </c>
      <c r="D35" s="203">
        <v>168.87</v>
      </c>
      <c r="E35" s="226">
        <v>134.47</v>
      </c>
      <c r="F35" s="71"/>
    </row>
    <row r="36" spans="2:6">
      <c r="B36" s="104" t="s">
        <v>9</v>
      </c>
      <c r="C36" s="6" t="s">
        <v>28</v>
      </c>
      <c r="D36" s="203"/>
      <c r="E36" s="226"/>
      <c r="F36" s="71"/>
    </row>
    <row r="37" spans="2:6" ht="25.5">
      <c r="B37" s="104" t="s">
        <v>29</v>
      </c>
      <c r="C37" s="6" t="s">
        <v>30</v>
      </c>
      <c r="D37" s="203">
        <v>535.88</v>
      </c>
      <c r="E37" s="226">
        <v>354.32</v>
      </c>
      <c r="F37" s="71"/>
    </row>
    <row r="38" spans="2:6">
      <c r="B38" s="104" t="s">
        <v>31</v>
      </c>
      <c r="C38" s="6" t="s">
        <v>32</v>
      </c>
      <c r="D38" s="203"/>
      <c r="E38" s="226"/>
      <c r="F38" s="71"/>
    </row>
    <row r="39" spans="2:6">
      <c r="B39" s="105" t="s">
        <v>33</v>
      </c>
      <c r="C39" s="12" t="s">
        <v>34</v>
      </c>
      <c r="D39" s="204"/>
      <c r="E39" s="227"/>
      <c r="F39" s="71"/>
    </row>
    <row r="40" spans="2:6" ht="13.5" thickBot="1">
      <c r="B40" s="97" t="s">
        <v>35</v>
      </c>
      <c r="C40" s="98" t="s">
        <v>36</v>
      </c>
      <c r="D40" s="205">
        <v>-1460.55</v>
      </c>
      <c r="E40" s="232">
        <v>1529.87</v>
      </c>
    </row>
    <row r="41" spans="2:6" ht="13.5" thickBot="1">
      <c r="B41" s="99" t="s">
        <v>37</v>
      </c>
      <c r="C41" s="100" t="s">
        <v>38</v>
      </c>
      <c r="D41" s="206">
        <v>18463.740000000002</v>
      </c>
      <c r="E41" s="148">
        <f>E26+E27+E40</f>
        <v>19504.82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63"/>
      <c r="D43" s="363"/>
      <c r="E43" s="363"/>
    </row>
    <row r="44" spans="2:6" ht="18" customHeight="1" thickBot="1">
      <c r="B44" s="360" t="s">
        <v>121</v>
      </c>
      <c r="C44" s="364"/>
      <c r="D44" s="364"/>
      <c r="E44" s="364"/>
    </row>
    <row r="45" spans="2:6" ht="13.5" thickBot="1">
      <c r="B45" s="151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7">
        <v>399.91390000000001</v>
      </c>
      <c r="E47" s="73">
        <v>172.73589999999999</v>
      </c>
    </row>
    <row r="48" spans="2:6">
      <c r="B48" s="123" t="s">
        <v>6</v>
      </c>
      <c r="C48" s="22" t="s">
        <v>41</v>
      </c>
      <c r="D48" s="207">
        <v>172.73589999999999</v>
      </c>
      <c r="E48" s="303">
        <v>168.39179999999999</v>
      </c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02" t="s">
        <v>4</v>
      </c>
      <c r="C50" s="15" t="s">
        <v>40</v>
      </c>
      <c r="D50" s="207">
        <v>113.69</v>
      </c>
      <c r="E50" s="75">
        <v>106.89</v>
      </c>
    </row>
    <row r="51" spans="2:5">
      <c r="B51" s="102" t="s">
        <v>6</v>
      </c>
      <c r="C51" s="15" t="s">
        <v>114</v>
      </c>
      <c r="D51" s="207">
        <v>106.53</v>
      </c>
      <c r="E51" s="75">
        <v>106.89</v>
      </c>
    </row>
    <row r="52" spans="2:5">
      <c r="B52" s="102" t="s">
        <v>8</v>
      </c>
      <c r="C52" s="15" t="s">
        <v>115</v>
      </c>
      <c r="D52" s="207">
        <v>115.3</v>
      </c>
      <c r="E52" s="75">
        <v>115.86</v>
      </c>
    </row>
    <row r="53" spans="2:5" ht="13.5" thickBot="1">
      <c r="B53" s="103" t="s">
        <v>9</v>
      </c>
      <c r="C53" s="17" t="s">
        <v>41</v>
      </c>
      <c r="D53" s="209">
        <v>106.89</v>
      </c>
      <c r="E53" s="292">
        <v>115.83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4.25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19504.82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19504.82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19504.82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19504.82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horizontalDpi="90" verticalDpi="9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47"/>
      <c r="C4" s="147"/>
      <c r="D4" s="147"/>
      <c r="E4" s="147"/>
    </row>
    <row r="5" spans="2:7" ht="14.25">
      <c r="B5" s="358" t="s">
        <v>1</v>
      </c>
      <c r="C5" s="358"/>
      <c r="D5" s="358"/>
      <c r="E5" s="358"/>
    </row>
    <row r="6" spans="2:7" ht="14.25">
      <c r="B6" s="359" t="s">
        <v>164</v>
      </c>
      <c r="C6" s="359"/>
      <c r="D6" s="359"/>
      <c r="E6" s="359"/>
    </row>
    <row r="7" spans="2:7" ht="14.25">
      <c r="B7" s="313"/>
      <c r="C7" s="313"/>
      <c r="D7" s="313"/>
      <c r="E7" s="313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314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3734.46</v>
      </c>
      <c r="E11" s="244"/>
    </row>
    <row r="12" spans="2:7">
      <c r="B12" s="106" t="s">
        <v>4</v>
      </c>
      <c r="C12" s="6" t="s">
        <v>5</v>
      </c>
      <c r="D12" s="283">
        <v>3734.46</v>
      </c>
      <c r="E12" s="304"/>
    </row>
    <row r="13" spans="2:7">
      <c r="B13" s="106" t="s">
        <v>6</v>
      </c>
      <c r="C13" s="68" t="s">
        <v>7</v>
      </c>
      <c r="D13" s="276"/>
      <c r="E13" s="305"/>
    </row>
    <row r="14" spans="2:7">
      <c r="B14" s="106" t="s">
        <v>8</v>
      </c>
      <c r="C14" s="68" t="s">
        <v>10</v>
      </c>
      <c r="D14" s="276"/>
      <c r="E14" s="305"/>
    </row>
    <row r="15" spans="2:7">
      <c r="B15" s="106" t="s">
        <v>106</v>
      </c>
      <c r="C15" s="68" t="s">
        <v>11</v>
      </c>
      <c r="D15" s="276"/>
      <c r="E15" s="305"/>
    </row>
    <row r="16" spans="2:7">
      <c r="B16" s="107" t="s">
        <v>107</v>
      </c>
      <c r="C16" s="91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06" t="s">
        <v>4</v>
      </c>
      <c r="C18" s="6" t="s">
        <v>11</v>
      </c>
      <c r="D18" s="278"/>
      <c r="E18" s="306"/>
    </row>
    <row r="19" spans="2:6" ht="15" customHeight="1">
      <c r="B19" s="106" t="s">
        <v>6</v>
      </c>
      <c r="C19" s="68" t="s">
        <v>108</v>
      </c>
      <c r="D19" s="276"/>
      <c r="E19" s="305"/>
    </row>
    <row r="20" spans="2:6" ht="13.5" thickBot="1">
      <c r="B20" s="108" t="s">
        <v>8</v>
      </c>
      <c r="C20" s="69" t="s">
        <v>14</v>
      </c>
      <c r="D20" s="245"/>
      <c r="E20" s="246"/>
    </row>
    <row r="21" spans="2:6" ht="13.5" thickBot="1">
      <c r="B21" s="367" t="s">
        <v>110</v>
      </c>
      <c r="C21" s="368"/>
      <c r="D21" s="247">
        <f>D12</f>
        <v>3734.46</v>
      </c>
      <c r="E21" s="148">
        <v>0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69"/>
      <c r="D23" s="369"/>
      <c r="E23" s="369"/>
    </row>
    <row r="24" spans="2:6" ht="15.75" customHeight="1" thickBot="1">
      <c r="B24" s="360" t="s">
        <v>105</v>
      </c>
      <c r="C24" s="370"/>
      <c r="D24" s="370"/>
      <c r="E24" s="370"/>
    </row>
    <row r="25" spans="2:6" ht="13.5" thickBot="1">
      <c r="B25" s="314"/>
      <c r="C25" s="5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70078.289999999994</v>
      </c>
      <c r="E26" s="231">
        <v>3734.46</v>
      </c>
    </row>
    <row r="27" spans="2:6">
      <c r="B27" s="9" t="s">
        <v>17</v>
      </c>
      <c r="C27" s="10" t="s">
        <v>111</v>
      </c>
      <c r="D27" s="202">
        <v>-65046.18</v>
      </c>
      <c r="E27" s="224">
        <v>-3912.35</v>
      </c>
      <c r="F27" s="71"/>
    </row>
    <row r="28" spans="2:6">
      <c r="B28" s="9" t="s">
        <v>18</v>
      </c>
      <c r="C28" s="10" t="s">
        <v>19</v>
      </c>
      <c r="D28" s="202">
        <v>0</v>
      </c>
      <c r="E28" s="225">
        <v>0</v>
      </c>
      <c r="F28" s="71"/>
    </row>
    <row r="29" spans="2:6">
      <c r="B29" s="104" t="s">
        <v>4</v>
      </c>
      <c r="C29" s="6" t="s">
        <v>20</v>
      </c>
      <c r="D29" s="203"/>
      <c r="E29" s="226"/>
      <c r="F29" s="71"/>
    </row>
    <row r="30" spans="2:6">
      <c r="B30" s="104" t="s">
        <v>6</v>
      </c>
      <c r="C30" s="6" t="s">
        <v>21</v>
      </c>
      <c r="D30" s="203"/>
      <c r="E30" s="226"/>
      <c r="F30" s="71"/>
    </row>
    <row r="31" spans="2:6">
      <c r="B31" s="104" t="s">
        <v>8</v>
      </c>
      <c r="C31" s="6" t="s">
        <v>22</v>
      </c>
      <c r="D31" s="203"/>
      <c r="E31" s="226"/>
      <c r="F31" s="71"/>
    </row>
    <row r="32" spans="2:6">
      <c r="B32" s="92" t="s">
        <v>23</v>
      </c>
      <c r="C32" s="11" t="s">
        <v>24</v>
      </c>
      <c r="D32" s="202">
        <v>65046.18</v>
      </c>
      <c r="E32" s="225">
        <v>3912.35</v>
      </c>
      <c r="F32" s="71"/>
    </row>
    <row r="33" spans="2:6">
      <c r="B33" s="104" t="s">
        <v>4</v>
      </c>
      <c r="C33" s="6" t="s">
        <v>25</v>
      </c>
      <c r="D33" s="203">
        <v>50181.43</v>
      </c>
      <c r="E33" s="226">
        <v>3850</v>
      </c>
      <c r="F33" s="71"/>
    </row>
    <row r="34" spans="2:6">
      <c r="B34" s="104" t="s">
        <v>6</v>
      </c>
      <c r="C34" s="6" t="s">
        <v>26</v>
      </c>
      <c r="D34" s="203"/>
      <c r="E34" s="226"/>
      <c r="F34" s="71"/>
    </row>
    <row r="35" spans="2:6">
      <c r="B35" s="104" t="s">
        <v>8</v>
      </c>
      <c r="C35" s="6" t="s">
        <v>27</v>
      </c>
      <c r="D35" s="203">
        <v>111.42</v>
      </c>
      <c r="E35" s="226">
        <v>9.84</v>
      </c>
      <c r="F35" s="71"/>
    </row>
    <row r="36" spans="2:6">
      <c r="B36" s="104" t="s">
        <v>9</v>
      </c>
      <c r="C36" s="6" t="s">
        <v>28</v>
      </c>
      <c r="D36" s="203"/>
      <c r="E36" s="226"/>
      <c r="F36" s="71"/>
    </row>
    <row r="37" spans="2:6" ht="25.5">
      <c r="B37" s="104" t="s">
        <v>29</v>
      </c>
      <c r="C37" s="6" t="s">
        <v>30</v>
      </c>
      <c r="D37" s="203">
        <v>474.86</v>
      </c>
      <c r="E37" s="226">
        <v>52.51</v>
      </c>
      <c r="F37" s="71"/>
    </row>
    <row r="38" spans="2:6">
      <c r="B38" s="104" t="s">
        <v>31</v>
      </c>
      <c r="C38" s="6" t="s">
        <v>32</v>
      </c>
      <c r="D38" s="203"/>
      <c r="E38" s="226"/>
      <c r="F38" s="71"/>
    </row>
    <row r="39" spans="2:6">
      <c r="B39" s="105" t="s">
        <v>33</v>
      </c>
      <c r="C39" s="12" t="s">
        <v>34</v>
      </c>
      <c r="D39" s="204">
        <v>14278.47</v>
      </c>
      <c r="E39" s="227"/>
      <c r="F39" s="71"/>
    </row>
    <row r="40" spans="2:6" ht="13.5" thickBot="1">
      <c r="B40" s="97" t="s">
        <v>35</v>
      </c>
      <c r="C40" s="98" t="s">
        <v>36</v>
      </c>
      <c r="D40" s="205">
        <v>-1297.6500000000001</v>
      </c>
      <c r="E40" s="232">
        <v>177.89</v>
      </c>
    </row>
    <row r="41" spans="2:6" ht="13.5" thickBot="1">
      <c r="B41" s="99" t="s">
        <v>37</v>
      </c>
      <c r="C41" s="100" t="s">
        <v>38</v>
      </c>
      <c r="D41" s="206">
        <v>3734.4599999999932</v>
      </c>
      <c r="E41" s="148">
        <f>E26+E27+E40</f>
        <v>0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63"/>
      <c r="D43" s="363"/>
      <c r="E43" s="363"/>
    </row>
    <row r="44" spans="2:6" ht="18" customHeight="1" thickBot="1">
      <c r="B44" s="360" t="s">
        <v>121</v>
      </c>
      <c r="C44" s="364"/>
      <c r="D44" s="364"/>
      <c r="E44" s="364"/>
    </row>
    <row r="45" spans="2:6" ht="13.5" thickBot="1">
      <c r="B45" s="3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7">
        <v>641.39020000000005</v>
      </c>
      <c r="E47" s="73">
        <v>35.647799999999997</v>
      </c>
    </row>
    <row r="48" spans="2:6">
      <c r="B48" s="123" t="s">
        <v>6</v>
      </c>
      <c r="C48" s="22" t="s">
        <v>41</v>
      </c>
      <c r="D48" s="207">
        <v>35.647799999999997</v>
      </c>
      <c r="E48" s="303"/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02" t="s">
        <v>4</v>
      </c>
      <c r="C50" s="15" t="s">
        <v>40</v>
      </c>
      <c r="D50" s="207">
        <v>109.26</v>
      </c>
      <c r="E50" s="75">
        <v>104.76</v>
      </c>
    </row>
    <row r="51" spans="2:5">
      <c r="B51" s="102" t="s">
        <v>6</v>
      </c>
      <c r="C51" s="15" t="s">
        <v>114</v>
      </c>
      <c r="D51" s="207">
        <v>104.7</v>
      </c>
      <c r="E51" s="75">
        <v>104.76</v>
      </c>
    </row>
    <row r="52" spans="2:5">
      <c r="B52" s="102" t="s">
        <v>8</v>
      </c>
      <c r="C52" s="15" t="s">
        <v>115</v>
      </c>
      <c r="D52" s="207">
        <v>109.66</v>
      </c>
      <c r="E52" s="75">
        <v>110.9</v>
      </c>
    </row>
    <row r="53" spans="2:5" ht="13.5" thickBot="1">
      <c r="B53" s="103" t="s">
        <v>9</v>
      </c>
      <c r="C53" s="17" t="s">
        <v>41</v>
      </c>
      <c r="D53" s="209">
        <v>104.76</v>
      </c>
      <c r="E53" s="292"/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4.25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0</v>
      </c>
      <c r="E58" s="31">
        <v>0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0</v>
      </c>
      <c r="E64" s="81">
        <v>0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0</v>
      </c>
      <c r="E74" s="66">
        <f>E58+E72-E73</f>
        <v>0</v>
      </c>
    </row>
    <row r="75" spans="2:5">
      <c r="B75" s="102" t="s">
        <v>4</v>
      </c>
      <c r="C75" s="15" t="s">
        <v>67</v>
      </c>
      <c r="D75" s="78">
        <f>D74</f>
        <v>0</v>
      </c>
      <c r="E75" s="79">
        <f>E74</f>
        <v>0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horizontalDpi="90" verticalDpi="9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9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87"/>
      <c r="C4" s="87"/>
      <c r="D4" s="87"/>
      <c r="E4" s="87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165</v>
      </c>
      <c r="C6" s="359"/>
      <c r="D6" s="359"/>
      <c r="E6" s="359"/>
    </row>
    <row r="7" spans="2:7" ht="14.25">
      <c r="B7" s="89"/>
      <c r="C7" s="89"/>
      <c r="D7" s="89"/>
      <c r="E7" s="89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88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13171.68</v>
      </c>
      <c r="E11" s="244"/>
    </row>
    <row r="12" spans="2:7">
      <c r="B12" s="106" t="s">
        <v>4</v>
      </c>
      <c r="C12" s="6" t="s">
        <v>5</v>
      </c>
      <c r="D12" s="283">
        <v>13171.68</v>
      </c>
      <c r="E12" s="304"/>
    </row>
    <row r="13" spans="2:7">
      <c r="B13" s="106" t="s">
        <v>6</v>
      </c>
      <c r="C13" s="68" t="s">
        <v>7</v>
      </c>
      <c r="D13" s="276"/>
      <c r="E13" s="305"/>
    </row>
    <row r="14" spans="2:7">
      <c r="B14" s="106" t="s">
        <v>8</v>
      </c>
      <c r="C14" s="68" t="s">
        <v>10</v>
      </c>
      <c r="D14" s="276"/>
      <c r="E14" s="305"/>
    </row>
    <row r="15" spans="2:7">
      <c r="B15" s="106" t="s">
        <v>106</v>
      </c>
      <c r="C15" s="68" t="s">
        <v>11</v>
      </c>
      <c r="D15" s="276"/>
      <c r="E15" s="305"/>
    </row>
    <row r="16" spans="2:7">
      <c r="B16" s="107" t="s">
        <v>107</v>
      </c>
      <c r="C16" s="91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06" t="s">
        <v>4</v>
      </c>
      <c r="C18" s="6" t="s">
        <v>11</v>
      </c>
      <c r="D18" s="278"/>
      <c r="E18" s="306"/>
    </row>
    <row r="19" spans="2:6" ht="15" customHeight="1">
      <c r="B19" s="106" t="s">
        <v>6</v>
      </c>
      <c r="C19" s="68" t="s">
        <v>108</v>
      </c>
      <c r="D19" s="276"/>
      <c r="E19" s="305"/>
    </row>
    <row r="20" spans="2:6" ht="13.5" thickBot="1">
      <c r="B20" s="108" t="s">
        <v>8</v>
      </c>
      <c r="C20" s="69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13171.68</v>
      </c>
      <c r="E21" s="148"/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69"/>
      <c r="D23" s="369"/>
      <c r="E23" s="369"/>
    </row>
    <row r="24" spans="2:6" ht="15.75" customHeight="1" thickBot="1">
      <c r="B24" s="360" t="s">
        <v>105</v>
      </c>
      <c r="C24" s="370"/>
      <c r="D24" s="370"/>
      <c r="E24" s="370"/>
    </row>
    <row r="25" spans="2:6" ht="13.5" thickBot="1">
      <c r="B25" s="88"/>
      <c r="C25" s="5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18753.18</v>
      </c>
      <c r="E26" s="231">
        <f>D21</f>
        <v>13171.68</v>
      </c>
    </row>
    <row r="27" spans="2:6">
      <c r="B27" s="9" t="s">
        <v>17</v>
      </c>
      <c r="C27" s="10" t="s">
        <v>111</v>
      </c>
      <c r="D27" s="202">
        <v>-5415.2800000000007</v>
      </c>
      <c r="E27" s="224">
        <v>-13024.19</v>
      </c>
      <c r="F27" s="71"/>
    </row>
    <row r="28" spans="2:6">
      <c r="B28" s="9" t="s">
        <v>18</v>
      </c>
      <c r="C28" s="10" t="s">
        <v>19</v>
      </c>
      <c r="D28" s="202">
        <v>0</v>
      </c>
      <c r="E28" s="225">
        <v>0</v>
      </c>
      <c r="F28" s="71"/>
    </row>
    <row r="29" spans="2:6">
      <c r="B29" s="104" t="s">
        <v>4</v>
      </c>
      <c r="C29" s="6" t="s">
        <v>20</v>
      </c>
      <c r="D29" s="203"/>
      <c r="E29" s="226"/>
      <c r="F29" s="71"/>
    </row>
    <row r="30" spans="2:6">
      <c r="B30" s="104" t="s">
        <v>6</v>
      </c>
      <c r="C30" s="6" t="s">
        <v>21</v>
      </c>
      <c r="D30" s="203"/>
      <c r="E30" s="226"/>
      <c r="F30" s="71"/>
    </row>
    <row r="31" spans="2:6">
      <c r="B31" s="104" t="s">
        <v>8</v>
      </c>
      <c r="C31" s="6" t="s">
        <v>22</v>
      </c>
      <c r="D31" s="203"/>
      <c r="E31" s="226"/>
      <c r="F31" s="71"/>
    </row>
    <row r="32" spans="2:6">
      <c r="B32" s="92" t="s">
        <v>23</v>
      </c>
      <c r="C32" s="11" t="s">
        <v>24</v>
      </c>
      <c r="D32" s="202">
        <v>5415.2800000000007</v>
      </c>
      <c r="E32" s="225">
        <v>13024.19</v>
      </c>
      <c r="F32" s="71"/>
    </row>
    <row r="33" spans="2:6">
      <c r="B33" s="104" t="s">
        <v>4</v>
      </c>
      <c r="C33" s="6" t="s">
        <v>25</v>
      </c>
      <c r="D33" s="203">
        <v>5141.63</v>
      </c>
      <c r="E33" s="226">
        <v>12885.67</v>
      </c>
      <c r="F33" s="71"/>
    </row>
    <row r="34" spans="2:6">
      <c r="B34" s="104" t="s">
        <v>6</v>
      </c>
      <c r="C34" s="6" t="s">
        <v>26</v>
      </c>
      <c r="D34" s="203"/>
      <c r="E34" s="226"/>
      <c r="F34" s="71"/>
    </row>
    <row r="35" spans="2:6">
      <c r="B35" s="104" t="s">
        <v>8</v>
      </c>
      <c r="C35" s="6" t="s">
        <v>27</v>
      </c>
      <c r="D35" s="203">
        <v>20.68</v>
      </c>
      <c r="E35" s="226">
        <v>11.59</v>
      </c>
      <c r="F35" s="71"/>
    </row>
    <row r="36" spans="2:6">
      <c r="B36" s="104" t="s">
        <v>9</v>
      </c>
      <c r="C36" s="6" t="s">
        <v>28</v>
      </c>
      <c r="D36" s="203"/>
      <c r="E36" s="226"/>
      <c r="F36" s="71"/>
    </row>
    <row r="37" spans="2:6" ht="25.5">
      <c r="B37" s="104" t="s">
        <v>29</v>
      </c>
      <c r="C37" s="6" t="s">
        <v>30</v>
      </c>
      <c r="D37" s="203">
        <v>252.97</v>
      </c>
      <c r="E37" s="226">
        <v>126.93</v>
      </c>
      <c r="F37" s="71"/>
    </row>
    <row r="38" spans="2:6">
      <c r="B38" s="104" t="s">
        <v>31</v>
      </c>
      <c r="C38" s="6" t="s">
        <v>32</v>
      </c>
      <c r="D38" s="203"/>
      <c r="E38" s="226"/>
      <c r="F38" s="71"/>
    </row>
    <row r="39" spans="2:6">
      <c r="B39" s="105" t="s">
        <v>33</v>
      </c>
      <c r="C39" s="12" t="s">
        <v>34</v>
      </c>
      <c r="D39" s="204"/>
      <c r="E39" s="227"/>
      <c r="F39" s="71"/>
    </row>
    <row r="40" spans="2:6" ht="13.5" thickBot="1">
      <c r="B40" s="97" t="s">
        <v>35</v>
      </c>
      <c r="C40" s="98" t="s">
        <v>36</v>
      </c>
      <c r="D40" s="205">
        <v>-166.22</v>
      </c>
      <c r="E40" s="232">
        <v>-147.49</v>
      </c>
    </row>
    <row r="41" spans="2:6" ht="13.5" thickBot="1">
      <c r="B41" s="99" t="s">
        <v>37</v>
      </c>
      <c r="C41" s="100" t="s">
        <v>38</v>
      </c>
      <c r="D41" s="206">
        <v>13171.68</v>
      </c>
      <c r="E41" s="148">
        <f>E26+E27+E40</f>
        <v>-2.2737367544323206E-13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63"/>
      <c r="D43" s="363"/>
      <c r="E43" s="363"/>
    </row>
    <row r="44" spans="2:6" ht="18" customHeight="1" thickBot="1">
      <c r="B44" s="360" t="s">
        <v>121</v>
      </c>
      <c r="C44" s="364"/>
      <c r="D44" s="364"/>
      <c r="E44" s="364"/>
    </row>
    <row r="45" spans="2:6" ht="13.5" thickBot="1">
      <c r="B45" s="88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7">
        <v>153.12469999999999</v>
      </c>
      <c r="E47" s="149">
        <v>108.992</v>
      </c>
    </row>
    <row r="48" spans="2:6">
      <c r="B48" s="123" t="s">
        <v>6</v>
      </c>
      <c r="C48" s="22" t="s">
        <v>41</v>
      </c>
      <c r="D48" s="207">
        <v>108.992</v>
      </c>
      <c r="E48" s="291"/>
    </row>
    <row r="49" spans="2:5">
      <c r="B49" s="120" t="s">
        <v>23</v>
      </c>
      <c r="C49" s="124" t="s">
        <v>113</v>
      </c>
      <c r="D49" s="208"/>
      <c r="E49" s="149"/>
    </row>
    <row r="50" spans="2:5">
      <c r="B50" s="102" t="s">
        <v>4</v>
      </c>
      <c r="C50" s="15" t="s">
        <v>40</v>
      </c>
      <c r="D50" s="207">
        <v>122.47</v>
      </c>
      <c r="E50" s="149">
        <v>120.85</v>
      </c>
    </row>
    <row r="51" spans="2:5">
      <c r="B51" s="102" t="s">
        <v>6</v>
      </c>
      <c r="C51" s="15" t="s">
        <v>114</v>
      </c>
      <c r="D51" s="207">
        <v>120.02</v>
      </c>
      <c r="E51" s="75">
        <v>117.39</v>
      </c>
    </row>
    <row r="52" spans="2:5">
      <c r="B52" s="102" t="s">
        <v>8</v>
      </c>
      <c r="C52" s="15" t="s">
        <v>115</v>
      </c>
      <c r="D52" s="207">
        <v>122.78</v>
      </c>
      <c r="E52" s="75">
        <v>120.85</v>
      </c>
    </row>
    <row r="53" spans="2:5" ht="12.75" customHeight="1" thickBot="1">
      <c r="B53" s="103" t="s">
        <v>9</v>
      </c>
      <c r="C53" s="17" t="s">
        <v>41</v>
      </c>
      <c r="D53" s="209">
        <v>120.85</v>
      </c>
      <c r="E53" s="292"/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6.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0</v>
      </c>
      <c r="E58" s="31">
        <v>0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0</v>
      </c>
      <c r="E64" s="81">
        <v>0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0</v>
      </c>
      <c r="E74" s="66">
        <f>E58+E72-E73</f>
        <v>0</v>
      </c>
    </row>
    <row r="75" spans="2:5">
      <c r="B75" s="102" t="s">
        <v>4</v>
      </c>
      <c r="C75" s="15" t="s">
        <v>67</v>
      </c>
      <c r="D75" s="78">
        <f>D74</f>
        <v>0</v>
      </c>
      <c r="E75" s="79">
        <f>E74</f>
        <v>0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47"/>
      <c r="C4" s="147"/>
      <c r="D4" s="147"/>
      <c r="E4" s="147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246</v>
      </c>
      <c r="C6" s="359"/>
      <c r="D6" s="359"/>
      <c r="E6" s="359"/>
    </row>
    <row r="7" spans="2:7" ht="14.25">
      <c r="B7" s="313"/>
      <c r="C7" s="313"/>
      <c r="D7" s="313"/>
      <c r="E7" s="313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314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13171.68</v>
      </c>
      <c r="E11" s="244"/>
    </row>
    <row r="12" spans="2:7">
      <c r="B12" s="106" t="s">
        <v>4</v>
      </c>
      <c r="C12" s="6" t="s">
        <v>5</v>
      </c>
      <c r="D12" s="283">
        <v>13171.68</v>
      </c>
      <c r="E12" s="304"/>
    </row>
    <row r="13" spans="2:7">
      <c r="B13" s="106" t="s">
        <v>6</v>
      </c>
      <c r="C13" s="68" t="s">
        <v>7</v>
      </c>
      <c r="D13" s="276"/>
      <c r="E13" s="305"/>
    </row>
    <row r="14" spans="2:7">
      <c r="B14" s="106" t="s">
        <v>8</v>
      </c>
      <c r="C14" s="68" t="s">
        <v>10</v>
      </c>
      <c r="D14" s="276"/>
      <c r="E14" s="305"/>
    </row>
    <row r="15" spans="2:7">
      <c r="B15" s="106" t="s">
        <v>106</v>
      </c>
      <c r="C15" s="68" t="s">
        <v>11</v>
      </c>
      <c r="D15" s="276"/>
      <c r="E15" s="305"/>
    </row>
    <row r="16" spans="2:7">
      <c r="B16" s="107" t="s">
        <v>107</v>
      </c>
      <c r="C16" s="91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06" t="s">
        <v>4</v>
      </c>
      <c r="C18" s="6" t="s">
        <v>11</v>
      </c>
      <c r="D18" s="278"/>
      <c r="E18" s="306"/>
    </row>
    <row r="19" spans="2:6" ht="15" customHeight="1">
      <c r="B19" s="106" t="s">
        <v>6</v>
      </c>
      <c r="C19" s="68" t="s">
        <v>108</v>
      </c>
      <c r="D19" s="276"/>
      <c r="E19" s="305"/>
    </row>
    <row r="20" spans="2:6" ht="13.5" thickBot="1">
      <c r="B20" s="108" t="s">
        <v>8</v>
      </c>
      <c r="C20" s="69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13171.68</v>
      </c>
      <c r="E21" s="148"/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69"/>
      <c r="D23" s="369"/>
      <c r="E23" s="369"/>
    </row>
    <row r="24" spans="2:6" ht="15.75" customHeight="1" thickBot="1">
      <c r="B24" s="360" t="s">
        <v>105</v>
      </c>
      <c r="C24" s="370"/>
      <c r="D24" s="370"/>
      <c r="E24" s="370"/>
    </row>
    <row r="25" spans="2:6" ht="13.5" thickBot="1">
      <c r="B25" s="314"/>
      <c r="C25" s="5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19643.47</v>
      </c>
      <c r="E26" s="231"/>
    </row>
    <row r="27" spans="2:6">
      <c r="B27" s="9" t="s">
        <v>17</v>
      </c>
      <c r="C27" s="10" t="s">
        <v>111</v>
      </c>
      <c r="D27" s="202">
        <v>-17008.469999999998</v>
      </c>
      <c r="E27" s="224"/>
      <c r="F27" s="71"/>
    </row>
    <row r="28" spans="2:6">
      <c r="B28" s="9" t="s">
        <v>18</v>
      </c>
      <c r="C28" s="10" t="s">
        <v>19</v>
      </c>
      <c r="D28" s="202">
        <v>0</v>
      </c>
      <c r="E28" s="225"/>
      <c r="F28" s="71"/>
    </row>
    <row r="29" spans="2:6">
      <c r="B29" s="104" t="s">
        <v>4</v>
      </c>
      <c r="C29" s="6" t="s">
        <v>20</v>
      </c>
      <c r="D29" s="203">
        <v>0</v>
      </c>
      <c r="E29" s="226"/>
      <c r="F29" s="71"/>
    </row>
    <row r="30" spans="2:6">
      <c r="B30" s="104" t="s">
        <v>6</v>
      </c>
      <c r="C30" s="6" t="s">
        <v>21</v>
      </c>
      <c r="D30" s="203">
        <v>0</v>
      </c>
      <c r="E30" s="226"/>
      <c r="F30" s="71"/>
    </row>
    <row r="31" spans="2:6">
      <c r="B31" s="104" t="s">
        <v>8</v>
      </c>
      <c r="C31" s="6" t="s">
        <v>22</v>
      </c>
      <c r="D31" s="203">
        <v>0</v>
      </c>
      <c r="E31" s="226"/>
      <c r="F31" s="71"/>
    </row>
    <row r="32" spans="2:6">
      <c r="B32" s="92" t="s">
        <v>23</v>
      </c>
      <c r="C32" s="11" t="s">
        <v>24</v>
      </c>
      <c r="D32" s="202">
        <v>17008.469999999998</v>
      </c>
      <c r="E32" s="225"/>
      <c r="F32" s="71"/>
    </row>
    <row r="33" spans="2:6">
      <c r="B33" s="104" t="s">
        <v>4</v>
      </c>
      <c r="C33" s="6" t="s">
        <v>25</v>
      </c>
      <c r="D33" s="203">
        <v>16696.78</v>
      </c>
      <c r="E33" s="226"/>
      <c r="F33" s="71"/>
    </row>
    <row r="34" spans="2:6">
      <c r="B34" s="104" t="s">
        <v>6</v>
      </c>
      <c r="C34" s="6" t="s">
        <v>26</v>
      </c>
      <c r="D34" s="203">
        <v>0</v>
      </c>
      <c r="E34" s="226"/>
      <c r="F34" s="71"/>
    </row>
    <row r="35" spans="2:6">
      <c r="B35" s="104" t="s">
        <v>8</v>
      </c>
      <c r="C35" s="6" t="s">
        <v>27</v>
      </c>
      <c r="D35" s="203">
        <v>21.19</v>
      </c>
      <c r="E35" s="226"/>
      <c r="F35" s="71"/>
    </row>
    <row r="36" spans="2:6">
      <c r="B36" s="104" t="s">
        <v>9</v>
      </c>
      <c r="C36" s="6" t="s">
        <v>28</v>
      </c>
      <c r="D36" s="203">
        <v>0</v>
      </c>
      <c r="E36" s="226"/>
      <c r="F36" s="71"/>
    </row>
    <row r="37" spans="2:6" ht="25.5">
      <c r="B37" s="104" t="s">
        <v>29</v>
      </c>
      <c r="C37" s="6" t="s">
        <v>30</v>
      </c>
      <c r="D37" s="203">
        <v>290.5</v>
      </c>
      <c r="E37" s="226"/>
      <c r="F37" s="71"/>
    </row>
    <row r="38" spans="2:6">
      <c r="B38" s="104" t="s">
        <v>31</v>
      </c>
      <c r="C38" s="6" t="s">
        <v>32</v>
      </c>
      <c r="D38" s="203">
        <v>0</v>
      </c>
      <c r="E38" s="226"/>
      <c r="F38" s="71"/>
    </row>
    <row r="39" spans="2:6">
      <c r="B39" s="105" t="s">
        <v>33</v>
      </c>
      <c r="C39" s="12" t="s">
        <v>34</v>
      </c>
      <c r="D39" s="204">
        <v>0</v>
      </c>
      <c r="E39" s="227"/>
      <c r="F39" s="71"/>
    </row>
    <row r="40" spans="2:6" ht="13.5" thickBot="1">
      <c r="B40" s="97" t="s">
        <v>35</v>
      </c>
      <c r="C40" s="98" t="s">
        <v>36</v>
      </c>
      <c r="D40" s="205">
        <v>-2635</v>
      </c>
      <c r="E40" s="232"/>
    </row>
    <row r="41" spans="2:6" ht="13.5" thickBot="1">
      <c r="B41" s="99" t="s">
        <v>37</v>
      </c>
      <c r="C41" s="100" t="s">
        <v>38</v>
      </c>
      <c r="D41" s="206" t="s">
        <v>123</v>
      </c>
      <c r="E41" s="148"/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63"/>
      <c r="D43" s="363"/>
      <c r="E43" s="363"/>
    </row>
    <row r="44" spans="2:6" ht="18" customHeight="1" thickBot="1">
      <c r="B44" s="360" t="s">
        <v>121</v>
      </c>
      <c r="C44" s="364"/>
      <c r="D44" s="364"/>
      <c r="E44" s="364"/>
    </row>
    <row r="45" spans="2:6" ht="13.5" thickBot="1">
      <c r="B45" s="3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7">
        <v>136.57419999999999</v>
      </c>
      <c r="E47" s="149"/>
    </row>
    <row r="48" spans="2:6">
      <c r="B48" s="123" t="s">
        <v>6</v>
      </c>
      <c r="C48" s="22" t="s">
        <v>41</v>
      </c>
      <c r="D48" s="207">
        <v>0</v>
      </c>
      <c r="E48" s="291"/>
    </row>
    <row r="49" spans="2:5">
      <c r="B49" s="120" t="s">
        <v>23</v>
      </c>
      <c r="C49" s="124" t="s">
        <v>113</v>
      </c>
      <c r="D49" s="208"/>
      <c r="E49" s="149"/>
    </row>
    <row r="50" spans="2:5">
      <c r="B50" s="102" t="s">
        <v>4</v>
      </c>
      <c r="C50" s="15" t="s">
        <v>40</v>
      </c>
      <c r="D50" s="207">
        <v>143.83000000000001</v>
      </c>
      <c r="E50" s="149"/>
    </row>
    <row r="51" spans="2:5">
      <c r="B51" s="102" t="s">
        <v>6</v>
      </c>
      <c r="C51" s="15" t="s">
        <v>114</v>
      </c>
      <c r="D51" s="207">
        <v>105.57</v>
      </c>
      <c r="E51" s="75"/>
    </row>
    <row r="52" spans="2:5">
      <c r="B52" s="102" t="s">
        <v>8</v>
      </c>
      <c r="C52" s="15" t="s">
        <v>115</v>
      </c>
      <c r="D52" s="207">
        <v>144.09</v>
      </c>
      <c r="E52" s="75"/>
    </row>
    <row r="53" spans="2:5" ht="12.75" customHeight="1" thickBot="1">
      <c r="B53" s="103" t="s">
        <v>9</v>
      </c>
      <c r="C53" s="17" t="s">
        <v>41</v>
      </c>
      <c r="D53" s="209">
        <v>0</v>
      </c>
      <c r="E53" s="292"/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6.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0</v>
      </c>
      <c r="E58" s="31">
        <v>0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0</v>
      </c>
      <c r="E64" s="81">
        <v>0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0</v>
      </c>
      <c r="E74" s="66">
        <f>E58+E72-E73</f>
        <v>0</v>
      </c>
    </row>
    <row r="75" spans="2:5">
      <c r="B75" s="102" t="s">
        <v>4</v>
      </c>
      <c r="C75" s="15" t="s">
        <v>67</v>
      </c>
      <c r="D75" s="78">
        <f>D74</f>
        <v>0</v>
      </c>
      <c r="E75" s="79">
        <f>E74</f>
        <v>0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F81"/>
  <sheetViews>
    <sheetView zoomScale="80" zoomScaleNormal="80" workbookViewId="0">
      <selection activeCell="G1" sqref="G1:Q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85"/>
      <c r="C4" s="85"/>
      <c r="D4" s="85"/>
      <c r="E4" s="85"/>
    </row>
    <row r="5" spans="2:5" ht="21" customHeight="1">
      <c r="B5" s="358" t="s">
        <v>1</v>
      </c>
      <c r="C5" s="358"/>
      <c r="D5" s="358"/>
      <c r="E5" s="358"/>
    </row>
    <row r="6" spans="2:5" ht="14.25">
      <c r="B6" s="359" t="s">
        <v>87</v>
      </c>
      <c r="C6" s="359"/>
      <c r="D6" s="359"/>
      <c r="E6" s="359"/>
    </row>
    <row r="7" spans="2:5" ht="14.25">
      <c r="B7" s="89"/>
      <c r="C7" s="89"/>
      <c r="D7" s="89"/>
      <c r="E7" s="89"/>
    </row>
    <row r="8" spans="2:5" ht="13.5">
      <c r="B8" s="361" t="s">
        <v>18</v>
      </c>
      <c r="C8" s="363"/>
      <c r="D8" s="363"/>
      <c r="E8" s="363"/>
    </row>
    <row r="9" spans="2:5" ht="16.5" thickBot="1">
      <c r="B9" s="360" t="s">
        <v>103</v>
      </c>
      <c r="C9" s="360"/>
      <c r="D9" s="360"/>
      <c r="E9" s="360"/>
    </row>
    <row r="10" spans="2:5" ht="13.5" thickBot="1">
      <c r="B10" s="86"/>
      <c r="C10" s="76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28" t="s">
        <v>109</v>
      </c>
      <c r="D11" s="243">
        <v>106161061.16</v>
      </c>
      <c r="E11" s="244">
        <f>SUM(E12:E14)</f>
        <v>108062521.65000001</v>
      </c>
    </row>
    <row r="12" spans="2:5">
      <c r="B12" s="106" t="s">
        <v>4</v>
      </c>
      <c r="C12" s="6" t="s">
        <v>5</v>
      </c>
      <c r="D12" s="283">
        <v>105734886.06</v>
      </c>
      <c r="E12" s="304">
        <f>109885472.74+11562.09-2214783.22</f>
        <v>107682251.61</v>
      </c>
    </row>
    <row r="13" spans="2:5">
      <c r="B13" s="106" t="s">
        <v>6</v>
      </c>
      <c r="C13" s="68" t="s">
        <v>7</v>
      </c>
      <c r="D13" s="276"/>
      <c r="E13" s="305"/>
    </row>
    <row r="14" spans="2:5">
      <c r="B14" s="106" t="s">
        <v>8</v>
      </c>
      <c r="C14" s="68" t="s">
        <v>10</v>
      </c>
      <c r="D14" s="276">
        <v>426175.10000000003</v>
      </c>
      <c r="E14" s="305">
        <f>E15</f>
        <v>380270.04</v>
      </c>
    </row>
    <row r="15" spans="2:5">
      <c r="B15" s="106" t="s">
        <v>106</v>
      </c>
      <c r="C15" s="68" t="s">
        <v>11</v>
      </c>
      <c r="D15" s="276">
        <v>426175.10000000003</v>
      </c>
      <c r="E15" s="305">
        <v>380270.04</v>
      </c>
    </row>
    <row r="16" spans="2:5">
      <c r="B16" s="107" t="s">
        <v>107</v>
      </c>
      <c r="C16" s="91" t="s">
        <v>12</v>
      </c>
      <c r="D16" s="278"/>
      <c r="E16" s="306"/>
    </row>
    <row r="17" spans="2:6">
      <c r="B17" s="9" t="s">
        <v>13</v>
      </c>
      <c r="C17" s="11" t="s">
        <v>65</v>
      </c>
      <c r="D17" s="279">
        <v>148226.53</v>
      </c>
      <c r="E17" s="307">
        <f>E18</f>
        <v>152156.49</v>
      </c>
    </row>
    <row r="18" spans="2:6">
      <c r="B18" s="106" t="s">
        <v>4</v>
      </c>
      <c r="C18" s="6" t="s">
        <v>11</v>
      </c>
      <c r="D18" s="278">
        <v>148226.53</v>
      </c>
      <c r="E18" s="306">
        <v>152156.49</v>
      </c>
    </row>
    <row r="19" spans="2:6" ht="15" customHeight="1">
      <c r="B19" s="106" t="s">
        <v>6</v>
      </c>
      <c r="C19" s="68" t="s">
        <v>108</v>
      </c>
      <c r="D19" s="276"/>
      <c r="E19" s="305"/>
    </row>
    <row r="20" spans="2:6" ht="13.5" thickBot="1">
      <c r="B20" s="108" t="s">
        <v>8</v>
      </c>
      <c r="C20" s="69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106012834.63</v>
      </c>
      <c r="E21" s="148">
        <f>E11-E17</f>
        <v>107910365.16000001</v>
      </c>
      <c r="F21" s="77"/>
    </row>
    <row r="22" spans="2:6">
      <c r="B22" s="3"/>
      <c r="C22" s="7"/>
      <c r="D22" s="8"/>
      <c r="E22" s="8"/>
    </row>
    <row r="23" spans="2:6" ht="15.75">
      <c r="B23" s="361"/>
      <c r="C23" s="369"/>
      <c r="D23" s="369"/>
      <c r="E23" s="369"/>
    </row>
    <row r="24" spans="2:6" ht="16.5" customHeight="1" thickBot="1">
      <c r="B24" s="360" t="s">
        <v>105</v>
      </c>
      <c r="C24" s="370"/>
      <c r="D24" s="370"/>
      <c r="E24" s="370"/>
    </row>
    <row r="25" spans="2:6" ht="13.5" thickBot="1">
      <c r="B25" s="86"/>
      <c r="C25" s="5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115371627.76000001</v>
      </c>
      <c r="E26" s="231">
        <f>D21</f>
        <v>106012834.63</v>
      </c>
    </row>
    <row r="27" spans="2:6">
      <c r="B27" s="9" t="s">
        <v>17</v>
      </c>
      <c r="C27" s="10" t="s">
        <v>111</v>
      </c>
      <c r="D27" s="202">
        <v>1364399.1500000004</v>
      </c>
      <c r="E27" s="224">
        <f>E28-E32</f>
        <v>-1567659.8599999864</v>
      </c>
      <c r="F27" s="71"/>
    </row>
    <row r="28" spans="2:6">
      <c r="B28" s="9" t="s">
        <v>18</v>
      </c>
      <c r="C28" s="10" t="s">
        <v>19</v>
      </c>
      <c r="D28" s="202">
        <v>16014124.939999999</v>
      </c>
      <c r="E28" s="225">
        <v>14812541.690000001</v>
      </c>
      <c r="F28" s="71"/>
    </row>
    <row r="29" spans="2:6">
      <c r="B29" s="104" t="s">
        <v>4</v>
      </c>
      <c r="C29" s="6" t="s">
        <v>20</v>
      </c>
      <c r="D29" s="203">
        <v>15686269.869999999</v>
      </c>
      <c r="E29" s="226">
        <v>14521367.25</v>
      </c>
      <c r="F29" s="71"/>
    </row>
    <row r="30" spans="2:6">
      <c r="B30" s="104" t="s">
        <v>6</v>
      </c>
      <c r="C30" s="6" t="s">
        <v>21</v>
      </c>
      <c r="D30" s="203"/>
      <c r="E30" s="226"/>
      <c r="F30" s="71"/>
    </row>
    <row r="31" spans="2:6">
      <c r="B31" s="104" t="s">
        <v>8</v>
      </c>
      <c r="C31" s="6" t="s">
        <v>22</v>
      </c>
      <c r="D31" s="203">
        <v>327855.07</v>
      </c>
      <c r="E31" s="226">
        <v>291174.44</v>
      </c>
      <c r="F31" s="71"/>
    </row>
    <row r="32" spans="2:6">
      <c r="B32" s="92" t="s">
        <v>23</v>
      </c>
      <c r="C32" s="11" t="s">
        <v>24</v>
      </c>
      <c r="D32" s="202">
        <v>14649725.789999999</v>
      </c>
      <c r="E32" s="225">
        <f>SUM(E33:E39)</f>
        <v>16380201.549999988</v>
      </c>
      <c r="F32" s="71"/>
    </row>
    <row r="33" spans="2:6">
      <c r="B33" s="104" t="s">
        <v>4</v>
      </c>
      <c r="C33" s="6" t="s">
        <v>25</v>
      </c>
      <c r="D33" s="203">
        <v>10458406.959999999</v>
      </c>
      <c r="E33" s="226">
        <f>11266715.97+330414.39</f>
        <v>11597130.360000001</v>
      </c>
      <c r="F33" s="71"/>
    </row>
    <row r="34" spans="2:6">
      <c r="B34" s="104" t="s">
        <v>6</v>
      </c>
      <c r="C34" s="6" t="s">
        <v>26</v>
      </c>
      <c r="D34" s="203"/>
      <c r="E34" s="226"/>
      <c r="F34" s="71"/>
    </row>
    <row r="35" spans="2:6">
      <c r="B35" s="104" t="s">
        <v>8</v>
      </c>
      <c r="C35" s="6" t="s">
        <v>27</v>
      </c>
      <c r="D35" s="203">
        <v>3024707.64</v>
      </c>
      <c r="E35" s="226">
        <v>2857515.7800000003</v>
      </c>
      <c r="F35" s="71"/>
    </row>
    <row r="36" spans="2:6">
      <c r="B36" s="104" t="s">
        <v>9</v>
      </c>
      <c r="C36" s="6" t="s">
        <v>28</v>
      </c>
      <c r="D36" s="203"/>
      <c r="E36" s="226"/>
      <c r="F36" s="71"/>
    </row>
    <row r="37" spans="2:6" ht="25.5">
      <c r="B37" s="104" t="s">
        <v>29</v>
      </c>
      <c r="C37" s="6" t="s">
        <v>30</v>
      </c>
      <c r="D37" s="203"/>
      <c r="E37" s="226"/>
      <c r="F37" s="71"/>
    </row>
    <row r="38" spans="2:6">
      <c r="B38" s="104" t="s">
        <v>31</v>
      </c>
      <c r="C38" s="6" t="s">
        <v>32</v>
      </c>
      <c r="D38" s="203"/>
      <c r="E38" s="226"/>
      <c r="F38" s="71"/>
    </row>
    <row r="39" spans="2:6">
      <c r="B39" s="105" t="s">
        <v>33</v>
      </c>
      <c r="C39" s="12" t="s">
        <v>34</v>
      </c>
      <c r="D39" s="204">
        <v>1166611.19</v>
      </c>
      <c r="E39" s="227">
        <v>1925555.4099999876</v>
      </c>
      <c r="F39" s="71"/>
    </row>
    <row r="40" spans="2:6" ht="13.5" thickBot="1">
      <c r="B40" s="97" t="s">
        <v>35</v>
      </c>
      <c r="C40" s="98" t="s">
        <v>36</v>
      </c>
      <c r="D40" s="205">
        <v>-10723192.279999999</v>
      </c>
      <c r="E40" s="232">
        <v>3465190.39</v>
      </c>
    </row>
    <row r="41" spans="2:6" ht="13.5" thickBot="1">
      <c r="B41" s="99" t="s">
        <v>37</v>
      </c>
      <c r="C41" s="100" t="s">
        <v>38</v>
      </c>
      <c r="D41" s="206">
        <v>106012834.63000001</v>
      </c>
      <c r="E41" s="148">
        <f>E26+E27+E40</f>
        <v>107910365.16000001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63"/>
      <c r="D43" s="363"/>
      <c r="E43" s="363"/>
    </row>
    <row r="44" spans="2:6" ht="15.75" customHeight="1" thickBot="1">
      <c r="B44" s="360" t="s">
        <v>121</v>
      </c>
      <c r="C44" s="364"/>
      <c r="D44" s="364"/>
      <c r="E44" s="364"/>
    </row>
    <row r="45" spans="2:6" ht="13.5" thickBot="1">
      <c r="B45" s="86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217"/>
      <c r="E46" s="28"/>
    </row>
    <row r="47" spans="2:6">
      <c r="B47" s="102" t="s">
        <v>4</v>
      </c>
      <c r="C47" s="15" t="s">
        <v>40</v>
      </c>
      <c r="D47" s="207">
        <v>9686391.1517999992</v>
      </c>
      <c r="E47" s="73">
        <v>9785822.5662600007</v>
      </c>
    </row>
    <row r="48" spans="2:6">
      <c r="B48" s="123" t="s">
        <v>6</v>
      </c>
      <c r="C48" s="22" t="s">
        <v>41</v>
      </c>
      <c r="D48" s="207">
        <v>9785822.5662600007</v>
      </c>
      <c r="E48" s="310">
        <v>9651130.4149999991</v>
      </c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02" t="s">
        <v>4</v>
      </c>
      <c r="C50" s="15" t="s">
        <v>40</v>
      </c>
      <c r="D50" s="207">
        <v>11.910692635819199</v>
      </c>
      <c r="E50" s="149">
        <v>10.8333084840013</v>
      </c>
    </row>
    <row r="51" spans="2:5">
      <c r="B51" s="102" t="s">
        <v>6</v>
      </c>
      <c r="C51" s="15" t="s">
        <v>114</v>
      </c>
      <c r="D51" s="207">
        <v>10.766400000000001</v>
      </c>
      <c r="E51" s="270">
        <v>10.7829</v>
      </c>
    </row>
    <row r="52" spans="2:5" ht="12.75" customHeight="1">
      <c r="B52" s="102" t="s">
        <v>8</v>
      </c>
      <c r="C52" s="15" t="s">
        <v>115</v>
      </c>
      <c r="D52" s="207">
        <v>12.333</v>
      </c>
      <c r="E52" s="270">
        <v>11.731</v>
      </c>
    </row>
    <row r="53" spans="2:5" ht="13.5" thickBot="1">
      <c r="B53" s="103" t="s">
        <v>9</v>
      </c>
      <c r="C53" s="17" t="s">
        <v>41</v>
      </c>
      <c r="D53" s="209">
        <v>10.8333084840013</v>
      </c>
      <c r="E53" s="271">
        <v>11.181100000000001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5.7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SUM(D59:D70)</f>
        <v>107682251.61</v>
      </c>
      <c r="E58" s="31">
        <f>D58/E21</f>
        <v>0.99788608304992954</v>
      </c>
    </row>
    <row r="59" spans="2:5" ht="25.5">
      <c r="B59" s="21" t="s">
        <v>4</v>
      </c>
      <c r="C59" s="22" t="s">
        <v>44</v>
      </c>
      <c r="D59" s="80">
        <v>0</v>
      </c>
      <c r="E59" s="81">
        <v>0</v>
      </c>
    </row>
    <row r="60" spans="2:5" ht="24" customHeight="1">
      <c r="B60" s="14" t="s">
        <v>6</v>
      </c>
      <c r="C60" s="15" t="s">
        <v>45</v>
      </c>
      <c r="D60" s="78">
        <v>0</v>
      </c>
      <c r="E60" s="79">
        <v>0</v>
      </c>
    </row>
    <row r="61" spans="2:5">
      <c r="B61" s="14" t="s">
        <v>8</v>
      </c>
      <c r="C61" s="15" t="s">
        <v>46</v>
      </c>
      <c r="D61" s="78">
        <v>0</v>
      </c>
      <c r="E61" s="79">
        <v>0</v>
      </c>
    </row>
    <row r="62" spans="2:5">
      <c r="B62" s="14" t="s">
        <v>9</v>
      </c>
      <c r="C62" s="15" t="s">
        <v>47</v>
      </c>
      <c r="D62" s="78">
        <v>0</v>
      </c>
      <c r="E62" s="79">
        <v>0</v>
      </c>
    </row>
    <row r="63" spans="2:5">
      <c r="B63" s="14" t="s">
        <v>29</v>
      </c>
      <c r="C63" s="15" t="s">
        <v>48</v>
      </c>
      <c r="D63" s="78">
        <v>0</v>
      </c>
      <c r="E63" s="79">
        <v>0</v>
      </c>
    </row>
    <row r="64" spans="2:5">
      <c r="B64" s="21" t="s">
        <v>31</v>
      </c>
      <c r="C64" s="22" t="s">
        <v>49</v>
      </c>
      <c r="D64" s="269">
        <f>109885472.74-2214783.22</f>
        <v>107670689.52</v>
      </c>
      <c r="E64" s="81">
        <f>D64/E21</f>
        <v>0.99777893773554893</v>
      </c>
    </row>
    <row r="65" spans="2:5">
      <c r="B65" s="21" t="s">
        <v>33</v>
      </c>
      <c r="C65" s="22" t="s">
        <v>118</v>
      </c>
      <c r="D65" s="80">
        <v>0</v>
      </c>
      <c r="E65" s="81">
        <v>0</v>
      </c>
    </row>
    <row r="66" spans="2:5">
      <c r="B66" s="21" t="s">
        <v>50</v>
      </c>
      <c r="C66" s="22" t="s">
        <v>51</v>
      </c>
      <c r="D66" s="80">
        <v>0</v>
      </c>
      <c r="E66" s="81">
        <v>0</v>
      </c>
    </row>
    <row r="67" spans="2:5">
      <c r="B67" s="14" t="s">
        <v>52</v>
      </c>
      <c r="C67" s="15" t="s">
        <v>53</v>
      </c>
      <c r="D67" s="78">
        <v>0</v>
      </c>
      <c r="E67" s="79">
        <v>0</v>
      </c>
    </row>
    <row r="68" spans="2:5">
      <c r="B68" s="14" t="s">
        <v>54</v>
      </c>
      <c r="C68" s="15" t="s">
        <v>55</v>
      </c>
      <c r="D68" s="78">
        <v>0</v>
      </c>
      <c r="E68" s="79">
        <v>0</v>
      </c>
    </row>
    <row r="69" spans="2:5">
      <c r="B69" s="14" t="s">
        <v>56</v>
      </c>
      <c r="C69" s="15" t="s">
        <v>57</v>
      </c>
      <c r="D69" s="286">
        <v>11562.09</v>
      </c>
      <c r="E69" s="79">
        <f>D69/E21</f>
        <v>1.071453143806598E-4</v>
      </c>
    </row>
    <row r="70" spans="2:5">
      <c r="B70" s="112" t="s">
        <v>58</v>
      </c>
      <c r="C70" s="113" t="s">
        <v>59</v>
      </c>
      <c r="D70" s="114">
        <v>0</v>
      </c>
      <c r="E70" s="115">
        <v>0</v>
      </c>
    </row>
    <row r="71" spans="2:5">
      <c r="B71" s="120" t="s">
        <v>23</v>
      </c>
      <c r="C71" s="121" t="s">
        <v>61</v>
      </c>
      <c r="D71" s="122">
        <f>E13</f>
        <v>0</v>
      </c>
      <c r="E71" s="66">
        <v>0</v>
      </c>
    </row>
    <row r="72" spans="2:5">
      <c r="B72" s="116" t="s">
        <v>60</v>
      </c>
      <c r="C72" s="117" t="s">
        <v>63</v>
      </c>
      <c r="D72" s="118">
        <f>E14</f>
        <v>380270.04</v>
      </c>
      <c r="E72" s="119">
        <f>D72/E21</f>
        <v>3.5239435937054701E-3</v>
      </c>
    </row>
    <row r="73" spans="2:5">
      <c r="B73" s="23" t="s">
        <v>62</v>
      </c>
      <c r="C73" s="24" t="s">
        <v>65</v>
      </c>
      <c r="D73" s="25">
        <f>E17</f>
        <v>152156.49</v>
      </c>
      <c r="E73" s="26">
        <f>D73/E21</f>
        <v>1.4100266436351662E-3</v>
      </c>
    </row>
    <row r="74" spans="2:5">
      <c r="B74" s="120" t="s">
        <v>64</v>
      </c>
      <c r="C74" s="121" t="s">
        <v>66</v>
      </c>
      <c r="D74" s="122">
        <f>D58+D71+D72-D73</f>
        <v>107910365.16000001</v>
      </c>
      <c r="E74" s="66">
        <f>E58+E72-E73</f>
        <v>0.99999999999999978</v>
      </c>
    </row>
    <row r="75" spans="2:5">
      <c r="B75" s="14" t="s">
        <v>4</v>
      </c>
      <c r="C75" s="15" t="s">
        <v>67</v>
      </c>
      <c r="D75" s="78">
        <f>D74</f>
        <v>107910365.16000001</v>
      </c>
      <c r="E75" s="79">
        <f>E74</f>
        <v>0.99999999999999978</v>
      </c>
    </row>
    <row r="76" spans="2:5">
      <c r="B76" s="14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6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9" right="0.75" top="0.59" bottom="0.4" header="0.5" footer="0.5"/>
  <pageSetup paperSize="9" scale="70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1">
    <pageSetUpPr fitToPage="1"/>
  </sheetPr>
  <dimension ref="A1:H81"/>
  <sheetViews>
    <sheetView zoomScale="80" zoomScaleNormal="80" workbookViewId="0">
      <selection activeCell="G21" sqref="G2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8" max="8" width="12.42578125" bestFit="1" customWidth="1"/>
  </cols>
  <sheetData>
    <row r="1" spans="2:8">
      <c r="B1" s="1"/>
      <c r="C1" s="1"/>
      <c r="D1" s="2"/>
      <c r="E1" s="2"/>
    </row>
    <row r="2" spans="2:8" ht="15.75">
      <c r="B2" s="357" t="s">
        <v>0</v>
      </c>
      <c r="C2" s="357"/>
      <c r="D2" s="357"/>
      <c r="E2" s="357"/>
      <c r="H2" s="71"/>
    </row>
    <row r="3" spans="2:8" ht="15.75">
      <c r="B3" s="357" t="s">
        <v>267</v>
      </c>
      <c r="C3" s="357"/>
      <c r="D3" s="357"/>
      <c r="E3" s="357"/>
    </row>
    <row r="4" spans="2:8" ht="15">
      <c r="B4" s="87"/>
      <c r="C4" s="87"/>
      <c r="D4" s="87"/>
      <c r="E4" s="87"/>
    </row>
    <row r="5" spans="2:8" ht="21" customHeight="1">
      <c r="B5" s="358" t="s">
        <v>1</v>
      </c>
      <c r="C5" s="358"/>
      <c r="D5" s="358"/>
      <c r="E5" s="358"/>
    </row>
    <row r="6" spans="2:8" ht="14.25">
      <c r="B6" s="359" t="s">
        <v>166</v>
      </c>
      <c r="C6" s="359"/>
      <c r="D6" s="359"/>
      <c r="E6" s="359"/>
    </row>
    <row r="7" spans="2:8" ht="14.25">
      <c r="B7" s="89"/>
      <c r="C7" s="89"/>
      <c r="D7" s="89"/>
      <c r="E7" s="89"/>
    </row>
    <row r="8" spans="2:8" ht="13.5">
      <c r="B8" s="361" t="s">
        <v>18</v>
      </c>
      <c r="C8" s="363"/>
      <c r="D8" s="363"/>
      <c r="E8" s="363"/>
    </row>
    <row r="9" spans="2:8" ht="16.5" thickBot="1">
      <c r="B9" s="360" t="s">
        <v>103</v>
      </c>
      <c r="C9" s="360"/>
      <c r="D9" s="360"/>
      <c r="E9" s="360"/>
    </row>
    <row r="10" spans="2:8" ht="13.5" thickBot="1">
      <c r="B10" s="88"/>
      <c r="C10" s="76" t="s">
        <v>2</v>
      </c>
      <c r="D10" s="70" t="s">
        <v>125</v>
      </c>
      <c r="E10" s="319" t="s">
        <v>268</v>
      </c>
    </row>
    <row r="11" spans="2:8">
      <c r="B11" s="90" t="s">
        <v>3</v>
      </c>
      <c r="C11" s="128" t="s">
        <v>109</v>
      </c>
      <c r="D11" s="243">
        <v>49934.87</v>
      </c>
      <c r="E11" s="244">
        <f>SUM(E12:E14)</f>
        <v>90036.59</v>
      </c>
    </row>
    <row r="12" spans="2:8">
      <c r="B12" s="174" t="s">
        <v>4</v>
      </c>
      <c r="C12" s="175" t="s">
        <v>5</v>
      </c>
      <c r="D12" s="283">
        <v>49934.87</v>
      </c>
      <c r="E12" s="304">
        <v>90036.59</v>
      </c>
    </row>
    <row r="13" spans="2:8">
      <c r="B13" s="174" t="s">
        <v>6</v>
      </c>
      <c r="C13" s="176" t="s">
        <v>7</v>
      </c>
      <c r="D13" s="276"/>
      <c r="E13" s="305"/>
    </row>
    <row r="14" spans="2:8">
      <c r="B14" s="174" t="s">
        <v>8</v>
      </c>
      <c r="C14" s="176" t="s">
        <v>10</v>
      </c>
      <c r="D14" s="276"/>
      <c r="E14" s="305"/>
    </row>
    <row r="15" spans="2:8">
      <c r="B15" s="174" t="s">
        <v>106</v>
      </c>
      <c r="C15" s="176" t="s">
        <v>11</v>
      </c>
      <c r="D15" s="276"/>
      <c r="E15" s="305"/>
    </row>
    <row r="16" spans="2:8">
      <c r="B16" s="177" t="s">
        <v>107</v>
      </c>
      <c r="C16" s="178" t="s">
        <v>12</v>
      </c>
      <c r="D16" s="278"/>
      <c r="E16" s="306"/>
    </row>
    <row r="17" spans="2:7">
      <c r="B17" s="9" t="s">
        <v>13</v>
      </c>
      <c r="C17" s="11" t="s">
        <v>65</v>
      </c>
      <c r="D17" s="279"/>
      <c r="E17" s="307"/>
    </row>
    <row r="18" spans="2:7">
      <c r="B18" s="174" t="s">
        <v>4</v>
      </c>
      <c r="C18" s="175" t="s">
        <v>11</v>
      </c>
      <c r="D18" s="278"/>
      <c r="E18" s="306"/>
    </row>
    <row r="19" spans="2:7" ht="15" customHeight="1">
      <c r="B19" s="174" t="s">
        <v>6</v>
      </c>
      <c r="C19" s="176" t="s">
        <v>108</v>
      </c>
      <c r="D19" s="276"/>
      <c r="E19" s="305"/>
    </row>
    <row r="20" spans="2:7" ht="13.5" thickBot="1">
      <c r="B20" s="179" t="s">
        <v>8</v>
      </c>
      <c r="C20" s="180" t="s">
        <v>14</v>
      </c>
      <c r="D20" s="245"/>
      <c r="E20" s="246"/>
    </row>
    <row r="21" spans="2:7" ht="13.5" thickBot="1">
      <c r="B21" s="367" t="s">
        <v>110</v>
      </c>
      <c r="C21" s="368"/>
      <c r="D21" s="247">
        <v>49934.87</v>
      </c>
      <c r="E21" s="148">
        <f>E11-E17</f>
        <v>90036.59</v>
      </c>
      <c r="F21" s="77"/>
      <c r="G21" s="67"/>
    </row>
    <row r="22" spans="2:7">
      <c r="B22" s="3"/>
      <c r="C22" s="7"/>
      <c r="D22" s="8"/>
      <c r="E22" s="8"/>
    </row>
    <row r="23" spans="2:7" ht="13.5">
      <c r="B23" s="361" t="s">
        <v>104</v>
      </c>
      <c r="C23" s="371"/>
      <c r="D23" s="371"/>
      <c r="E23" s="371"/>
    </row>
    <row r="24" spans="2:7" ht="15.75" customHeight="1" thickBot="1">
      <c r="B24" s="360" t="s">
        <v>105</v>
      </c>
      <c r="C24" s="372"/>
      <c r="D24" s="372"/>
      <c r="E24" s="372"/>
    </row>
    <row r="25" spans="2:7" ht="13.5" thickBot="1">
      <c r="B25" s="214"/>
      <c r="C25" s="181" t="s">
        <v>2</v>
      </c>
      <c r="D25" s="70" t="s">
        <v>125</v>
      </c>
      <c r="E25" s="319" t="s">
        <v>268</v>
      </c>
    </row>
    <row r="26" spans="2:7">
      <c r="B26" s="95" t="s">
        <v>15</v>
      </c>
      <c r="C26" s="96" t="s">
        <v>16</v>
      </c>
      <c r="D26" s="201">
        <v>53370.67</v>
      </c>
      <c r="E26" s="231">
        <f>D21</f>
        <v>49934.87</v>
      </c>
    </row>
    <row r="27" spans="2:7">
      <c r="B27" s="9" t="s">
        <v>17</v>
      </c>
      <c r="C27" s="10" t="s">
        <v>111</v>
      </c>
      <c r="D27" s="202">
        <v>-3560.42</v>
      </c>
      <c r="E27" s="224">
        <v>38032.17</v>
      </c>
      <c r="F27" s="71"/>
    </row>
    <row r="28" spans="2:7">
      <c r="B28" s="9" t="s">
        <v>18</v>
      </c>
      <c r="C28" s="10" t="s">
        <v>19</v>
      </c>
      <c r="D28" s="202">
        <v>0</v>
      </c>
      <c r="E28" s="225">
        <v>51283.839999999997</v>
      </c>
      <c r="F28" s="71"/>
    </row>
    <row r="29" spans="2:7">
      <c r="B29" s="182" t="s">
        <v>4</v>
      </c>
      <c r="C29" s="175" t="s">
        <v>20</v>
      </c>
      <c r="D29" s="203"/>
      <c r="E29" s="226"/>
      <c r="F29" s="71"/>
    </row>
    <row r="30" spans="2:7">
      <c r="B30" s="182" t="s">
        <v>6</v>
      </c>
      <c r="C30" s="175" t="s">
        <v>21</v>
      </c>
      <c r="D30" s="203"/>
      <c r="E30" s="226"/>
      <c r="F30" s="71"/>
    </row>
    <row r="31" spans="2:7">
      <c r="B31" s="182" t="s">
        <v>8</v>
      </c>
      <c r="C31" s="175" t="s">
        <v>22</v>
      </c>
      <c r="D31" s="203"/>
      <c r="E31" s="226">
        <v>51283.839999999997</v>
      </c>
      <c r="F31" s="71"/>
    </row>
    <row r="32" spans="2:7">
      <c r="B32" s="92" t="s">
        <v>23</v>
      </c>
      <c r="C32" s="11" t="s">
        <v>24</v>
      </c>
      <c r="D32" s="202">
        <v>3560.42</v>
      </c>
      <c r="E32" s="225">
        <v>13251.67</v>
      </c>
      <c r="F32" s="71"/>
    </row>
    <row r="33" spans="2:6">
      <c r="B33" s="182" t="s">
        <v>4</v>
      </c>
      <c r="C33" s="175" t="s">
        <v>25</v>
      </c>
      <c r="D33" s="203">
        <v>2566.89</v>
      </c>
      <c r="E33" s="226">
        <v>12349.03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42.96</v>
      </c>
      <c r="E35" s="226">
        <v>38.76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950.57</v>
      </c>
      <c r="E37" s="226">
        <v>863.88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/>
      <c r="E39" s="227"/>
      <c r="F39" s="71"/>
    </row>
    <row r="40" spans="2:6" ht="13.5" thickBot="1">
      <c r="B40" s="97" t="s">
        <v>35</v>
      </c>
      <c r="C40" s="98" t="s">
        <v>36</v>
      </c>
      <c r="D40" s="205">
        <v>124.62</v>
      </c>
      <c r="E40" s="232">
        <v>2069.5500000000002</v>
      </c>
    </row>
    <row r="41" spans="2:6" ht="13.5" thickBot="1">
      <c r="B41" s="99" t="s">
        <v>37</v>
      </c>
      <c r="C41" s="100" t="s">
        <v>38</v>
      </c>
      <c r="D41" s="206">
        <v>49934.87</v>
      </c>
      <c r="E41" s="148">
        <f>E26+E27+E40</f>
        <v>90036.590000000011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406.60270000000003</v>
      </c>
      <c r="E47" s="149">
        <v>379.58850000000001</v>
      </c>
    </row>
    <row r="48" spans="2:6">
      <c r="B48" s="187" t="s">
        <v>6</v>
      </c>
      <c r="C48" s="188" t="s">
        <v>41</v>
      </c>
      <c r="D48" s="207">
        <v>379.58850000000001</v>
      </c>
      <c r="E48" s="293">
        <v>653.95550000000003</v>
      </c>
    </row>
    <row r="49" spans="2:5">
      <c r="B49" s="120" t="s">
        <v>23</v>
      </c>
      <c r="C49" s="124" t="s">
        <v>113</v>
      </c>
      <c r="D49" s="208"/>
      <c r="E49" s="235"/>
    </row>
    <row r="50" spans="2:5">
      <c r="B50" s="185" t="s">
        <v>4</v>
      </c>
      <c r="C50" s="186" t="s">
        <v>40</v>
      </c>
      <c r="D50" s="207">
        <v>131.26</v>
      </c>
      <c r="E50" s="235">
        <v>131.55000000000001</v>
      </c>
    </row>
    <row r="51" spans="2:5">
      <c r="B51" s="185" t="s">
        <v>6</v>
      </c>
      <c r="C51" s="186" t="s">
        <v>114</v>
      </c>
      <c r="D51" s="207">
        <v>131.26</v>
      </c>
      <c r="E51" s="236">
        <v>131.44</v>
      </c>
    </row>
    <row r="52" spans="2:5">
      <c r="B52" s="185" t="s">
        <v>8</v>
      </c>
      <c r="C52" s="186" t="s">
        <v>115</v>
      </c>
      <c r="D52" s="207">
        <v>132.44999999999999</v>
      </c>
      <c r="E52" s="236">
        <v>137.68</v>
      </c>
    </row>
    <row r="53" spans="2:5" ht="13.5" customHeight="1" thickBot="1">
      <c r="B53" s="189" t="s">
        <v>9</v>
      </c>
      <c r="C53" s="190" t="s">
        <v>41</v>
      </c>
      <c r="D53" s="209">
        <v>131.55000000000001</v>
      </c>
      <c r="E53" s="298">
        <v>137.68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6.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90036.59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90036.59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90036.59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90036.59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3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34"/>
      <c r="C4" s="134"/>
      <c r="D4" s="134"/>
      <c r="E4" s="134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167</v>
      </c>
      <c r="C6" s="359"/>
      <c r="D6" s="359"/>
      <c r="E6" s="359"/>
    </row>
    <row r="7" spans="2:7" ht="14.25">
      <c r="B7" s="133"/>
      <c r="C7" s="133"/>
      <c r="D7" s="133"/>
      <c r="E7" s="133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35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464283.27</v>
      </c>
      <c r="E11" s="244">
        <f>SUM(E12:E14)</f>
        <v>480395.92</v>
      </c>
    </row>
    <row r="12" spans="2:7">
      <c r="B12" s="174" t="s">
        <v>4</v>
      </c>
      <c r="C12" s="175" t="s">
        <v>5</v>
      </c>
      <c r="D12" s="283">
        <v>464283.27</v>
      </c>
      <c r="E12" s="304">
        <v>480395.92</v>
      </c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464283.27</v>
      </c>
      <c r="E21" s="148">
        <f>E11-E17</f>
        <v>480395.92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1173362.48</v>
      </c>
      <c r="E26" s="231">
        <f>D21</f>
        <v>464283.27</v>
      </c>
    </row>
    <row r="27" spans="2:6">
      <c r="B27" s="9" t="s">
        <v>17</v>
      </c>
      <c r="C27" s="10" t="s">
        <v>111</v>
      </c>
      <c r="D27" s="202">
        <v>-641341.98</v>
      </c>
      <c r="E27" s="224">
        <v>-77126.62</v>
      </c>
      <c r="F27" s="71"/>
    </row>
    <row r="28" spans="2:6">
      <c r="B28" s="9" t="s">
        <v>18</v>
      </c>
      <c r="C28" s="10" t="s">
        <v>19</v>
      </c>
      <c r="D28" s="202">
        <v>0</v>
      </c>
      <c r="E28" s="225">
        <v>0</v>
      </c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/>
      <c r="E31" s="226"/>
      <c r="F31" s="71"/>
    </row>
    <row r="32" spans="2:6">
      <c r="B32" s="92" t="s">
        <v>23</v>
      </c>
      <c r="C32" s="11" t="s">
        <v>24</v>
      </c>
      <c r="D32" s="202">
        <v>641341.98</v>
      </c>
      <c r="E32" s="225">
        <v>77126.62</v>
      </c>
      <c r="F32" s="71"/>
    </row>
    <row r="33" spans="2:6">
      <c r="B33" s="182" t="s">
        <v>4</v>
      </c>
      <c r="C33" s="175" t="s">
        <v>25</v>
      </c>
      <c r="D33" s="203">
        <v>126638.11</v>
      </c>
      <c r="E33" s="226">
        <v>450.66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3634.47</v>
      </c>
      <c r="E35" s="226">
        <v>5537.67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13321.32</v>
      </c>
      <c r="E37" s="226">
        <v>7374.28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>
        <v>497748.08</v>
      </c>
      <c r="E39" s="227">
        <v>63764.01</v>
      </c>
      <c r="F39" s="71"/>
    </row>
    <row r="40" spans="2:6" ht="13.5" thickBot="1">
      <c r="B40" s="97" t="s">
        <v>35</v>
      </c>
      <c r="C40" s="98" t="s">
        <v>36</v>
      </c>
      <c r="D40" s="205">
        <v>-67737.23</v>
      </c>
      <c r="E40" s="232">
        <v>93239.27</v>
      </c>
    </row>
    <row r="41" spans="2:6" ht="13.5" thickBot="1">
      <c r="B41" s="99" t="s">
        <v>37</v>
      </c>
      <c r="C41" s="100" t="s">
        <v>38</v>
      </c>
      <c r="D41" s="206">
        <v>464283.27</v>
      </c>
      <c r="E41" s="148">
        <f>E26+E27+E40</f>
        <v>480395.92000000004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96493.625</v>
      </c>
      <c r="E47" s="149">
        <v>42949.423999999999</v>
      </c>
    </row>
    <row r="48" spans="2:6">
      <c r="B48" s="187" t="s">
        <v>6</v>
      </c>
      <c r="C48" s="188" t="s">
        <v>41</v>
      </c>
      <c r="D48" s="207">
        <v>42949.423999999999</v>
      </c>
      <c r="E48" s="293">
        <v>36338.572</v>
      </c>
    </row>
    <row r="49" spans="2:5">
      <c r="B49" s="120" t="s">
        <v>23</v>
      </c>
      <c r="C49" s="124" t="s">
        <v>113</v>
      </c>
      <c r="D49" s="208"/>
      <c r="E49" s="235"/>
    </row>
    <row r="50" spans="2:5">
      <c r="B50" s="185" t="s">
        <v>4</v>
      </c>
      <c r="C50" s="186" t="s">
        <v>40</v>
      </c>
      <c r="D50" s="207">
        <v>12.16</v>
      </c>
      <c r="E50" s="235">
        <v>10.81</v>
      </c>
    </row>
    <row r="51" spans="2:5">
      <c r="B51" s="185" t="s">
        <v>6</v>
      </c>
      <c r="C51" s="186" t="s">
        <v>114</v>
      </c>
      <c r="D51" s="207">
        <v>10.58</v>
      </c>
      <c r="E51" s="236">
        <v>10.81</v>
      </c>
    </row>
    <row r="52" spans="2:5">
      <c r="B52" s="185" t="s">
        <v>8</v>
      </c>
      <c r="C52" s="186" t="s">
        <v>115</v>
      </c>
      <c r="D52" s="207">
        <v>12.64</v>
      </c>
      <c r="E52" s="236">
        <v>13.3</v>
      </c>
    </row>
    <row r="53" spans="2:5" ht="13.5" customHeight="1" thickBot="1">
      <c r="B53" s="189" t="s">
        <v>9</v>
      </c>
      <c r="C53" s="190" t="s">
        <v>41</v>
      </c>
      <c r="D53" s="209">
        <v>10.81</v>
      </c>
      <c r="E53" s="298">
        <v>13.22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4.25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480395.92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480395.92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480395.92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v>0</v>
      </c>
      <c r="E75" s="79">
        <v>0</v>
      </c>
    </row>
    <row r="76" spans="2:5">
      <c r="B76" s="102" t="s">
        <v>6</v>
      </c>
      <c r="C76" s="15" t="s">
        <v>119</v>
      </c>
      <c r="D76" s="78">
        <f>D74</f>
        <v>480395.92</v>
      </c>
      <c r="E76" s="79">
        <f>E74</f>
        <v>1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4"/>
  <dimension ref="A1:F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134"/>
      <c r="C4" s="134"/>
      <c r="D4" s="134"/>
      <c r="E4" s="134"/>
    </row>
    <row r="5" spans="2:5" ht="21" customHeight="1">
      <c r="B5" s="358" t="s">
        <v>1</v>
      </c>
      <c r="C5" s="358"/>
      <c r="D5" s="358"/>
      <c r="E5" s="358"/>
    </row>
    <row r="6" spans="2:5" ht="14.25">
      <c r="B6" s="359" t="s">
        <v>168</v>
      </c>
      <c r="C6" s="359"/>
      <c r="D6" s="359"/>
      <c r="E6" s="359"/>
    </row>
    <row r="7" spans="2:5" ht="14.25">
      <c r="B7" s="133"/>
      <c r="C7" s="133"/>
      <c r="D7" s="133"/>
      <c r="E7" s="133"/>
    </row>
    <row r="8" spans="2:5" ht="13.5">
      <c r="B8" s="361" t="s">
        <v>18</v>
      </c>
      <c r="C8" s="363"/>
      <c r="D8" s="363"/>
      <c r="E8" s="363"/>
    </row>
    <row r="9" spans="2:5" ht="16.5" thickBot="1">
      <c r="B9" s="360" t="s">
        <v>103</v>
      </c>
      <c r="C9" s="360"/>
      <c r="D9" s="360"/>
      <c r="E9" s="360"/>
    </row>
    <row r="10" spans="2:5" ht="13.5" thickBot="1">
      <c r="B10" s="135"/>
      <c r="C10" s="76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28" t="s">
        <v>109</v>
      </c>
      <c r="D11" s="243">
        <v>1587442.79</v>
      </c>
      <c r="E11" s="244">
        <f>SUM(E12:E14)</f>
        <v>1521760.02</v>
      </c>
    </row>
    <row r="12" spans="2:5">
      <c r="B12" s="174" t="s">
        <v>4</v>
      </c>
      <c r="C12" s="175" t="s">
        <v>5</v>
      </c>
      <c r="D12" s="283">
        <v>1587442.79</v>
      </c>
      <c r="E12" s="304">
        <v>1521760.02</v>
      </c>
    </row>
    <row r="13" spans="2:5">
      <c r="B13" s="174" t="s">
        <v>6</v>
      </c>
      <c r="C13" s="176" t="s">
        <v>7</v>
      </c>
      <c r="D13" s="276"/>
      <c r="E13" s="305"/>
    </row>
    <row r="14" spans="2:5">
      <c r="B14" s="174" t="s">
        <v>8</v>
      </c>
      <c r="C14" s="176" t="s">
        <v>10</v>
      </c>
      <c r="D14" s="276"/>
      <c r="E14" s="305"/>
    </row>
    <row r="15" spans="2:5">
      <c r="B15" s="174" t="s">
        <v>106</v>
      </c>
      <c r="C15" s="176" t="s">
        <v>11</v>
      </c>
      <c r="D15" s="276"/>
      <c r="E15" s="305"/>
    </row>
    <row r="16" spans="2:5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1587442.79</v>
      </c>
      <c r="E21" s="148">
        <f>E11-E17</f>
        <v>1521760.02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2334416.84</v>
      </c>
      <c r="E26" s="231">
        <f>D21</f>
        <v>1587442.79</v>
      </c>
    </row>
    <row r="27" spans="2:6">
      <c r="B27" s="9" t="s">
        <v>17</v>
      </c>
      <c r="C27" s="10" t="s">
        <v>111</v>
      </c>
      <c r="D27" s="202">
        <v>-523703.99</v>
      </c>
      <c r="E27" s="224">
        <v>-206917.84</v>
      </c>
      <c r="F27" s="71"/>
    </row>
    <row r="28" spans="2:6">
      <c r="B28" s="9" t="s">
        <v>18</v>
      </c>
      <c r="C28" s="10" t="s">
        <v>19</v>
      </c>
      <c r="D28" s="202">
        <v>0</v>
      </c>
      <c r="E28" s="225">
        <v>0</v>
      </c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/>
      <c r="E31" s="226"/>
      <c r="F31" s="71"/>
    </row>
    <row r="32" spans="2:6">
      <c r="B32" s="92" t="s">
        <v>23</v>
      </c>
      <c r="C32" s="11" t="s">
        <v>24</v>
      </c>
      <c r="D32" s="202">
        <v>523703.99</v>
      </c>
      <c r="E32" s="225">
        <v>206917.84</v>
      </c>
      <c r="F32" s="71"/>
    </row>
    <row r="33" spans="2:6">
      <c r="B33" s="182" t="s">
        <v>4</v>
      </c>
      <c r="C33" s="175" t="s">
        <v>25</v>
      </c>
      <c r="D33" s="203">
        <v>248075.17</v>
      </c>
      <c r="E33" s="226">
        <v>175660.27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2879.72</v>
      </c>
      <c r="E35" s="226">
        <v>2147.37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33579.31</v>
      </c>
      <c r="E37" s="226">
        <v>25547.8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>
        <v>239169.79</v>
      </c>
      <c r="E39" s="227">
        <v>3562.4000000000465</v>
      </c>
      <c r="F39" s="71"/>
    </row>
    <row r="40" spans="2:6" ht="13.5" thickBot="1">
      <c r="B40" s="97" t="s">
        <v>35</v>
      </c>
      <c r="C40" s="98" t="s">
        <v>36</v>
      </c>
      <c r="D40" s="205">
        <v>-223270.06</v>
      </c>
      <c r="E40" s="232">
        <v>141235.07</v>
      </c>
    </row>
    <row r="41" spans="2:6" ht="13.5" thickBot="1">
      <c r="B41" s="99" t="s">
        <v>37</v>
      </c>
      <c r="C41" s="100" t="s">
        <v>38</v>
      </c>
      <c r="D41" s="206">
        <v>1587442.7899999998</v>
      </c>
      <c r="E41" s="148">
        <f>E26+E27+E40</f>
        <v>1521760.02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141737.51300000001</v>
      </c>
      <c r="E47" s="149">
        <v>108580.21799999999</v>
      </c>
    </row>
    <row r="48" spans="2:6">
      <c r="B48" s="187" t="s">
        <v>6</v>
      </c>
      <c r="C48" s="188" t="s">
        <v>41</v>
      </c>
      <c r="D48" s="207">
        <v>108580.21799999999</v>
      </c>
      <c r="E48" s="293">
        <v>94872.819000000003</v>
      </c>
    </row>
    <row r="49" spans="2:5">
      <c r="B49" s="120" t="s">
        <v>23</v>
      </c>
      <c r="C49" s="124" t="s">
        <v>113</v>
      </c>
      <c r="D49" s="208"/>
      <c r="E49" s="235"/>
    </row>
    <row r="50" spans="2:5">
      <c r="B50" s="185" t="s">
        <v>4</v>
      </c>
      <c r="C50" s="186" t="s">
        <v>40</v>
      </c>
      <c r="D50" s="207">
        <v>16.47</v>
      </c>
      <c r="E50" s="235">
        <v>14.62</v>
      </c>
    </row>
    <row r="51" spans="2:5">
      <c r="B51" s="185" t="s">
        <v>6</v>
      </c>
      <c r="C51" s="186" t="s">
        <v>114</v>
      </c>
      <c r="D51" s="207">
        <v>14.31</v>
      </c>
      <c r="E51" s="235">
        <v>14.55</v>
      </c>
    </row>
    <row r="52" spans="2:5">
      <c r="B52" s="185" t="s">
        <v>8</v>
      </c>
      <c r="C52" s="186" t="s">
        <v>115</v>
      </c>
      <c r="D52" s="207">
        <v>17.21</v>
      </c>
      <c r="E52" s="236">
        <v>16.04</v>
      </c>
    </row>
    <row r="53" spans="2:5" ht="12.75" customHeight="1" thickBot="1">
      <c r="B53" s="189" t="s">
        <v>9</v>
      </c>
      <c r="C53" s="190" t="s">
        <v>41</v>
      </c>
      <c r="D53" s="209">
        <v>14.62</v>
      </c>
      <c r="E53" s="298">
        <v>16.04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6.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1521760.02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1521760.02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1521760.02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v>0</v>
      </c>
      <c r="E75" s="79">
        <v>0</v>
      </c>
    </row>
    <row r="76" spans="2:5">
      <c r="B76" s="102" t="s">
        <v>6</v>
      </c>
      <c r="C76" s="15" t="s">
        <v>119</v>
      </c>
      <c r="D76" s="78">
        <f>D74</f>
        <v>1521760.02</v>
      </c>
      <c r="E76" s="79">
        <f>E74</f>
        <v>1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5"/>
  <dimension ref="A1:F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134"/>
      <c r="C4" s="134"/>
      <c r="D4" s="134"/>
      <c r="E4" s="134"/>
    </row>
    <row r="5" spans="2:5" ht="21" customHeight="1">
      <c r="B5" s="358" t="s">
        <v>1</v>
      </c>
      <c r="C5" s="358"/>
      <c r="D5" s="358"/>
      <c r="E5" s="358"/>
    </row>
    <row r="6" spans="2:5" ht="14.25">
      <c r="B6" s="359" t="s">
        <v>247</v>
      </c>
      <c r="C6" s="359"/>
      <c r="D6" s="359"/>
      <c r="E6" s="359"/>
    </row>
    <row r="7" spans="2:5" ht="14.25">
      <c r="B7" s="133"/>
      <c r="C7" s="133"/>
      <c r="D7" s="133"/>
      <c r="E7" s="133"/>
    </row>
    <row r="8" spans="2:5" ht="13.5">
      <c r="B8" s="361" t="s">
        <v>18</v>
      </c>
      <c r="C8" s="363"/>
      <c r="D8" s="363"/>
      <c r="E8" s="363"/>
    </row>
    <row r="9" spans="2:5" ht="16.5" thickBot="1">
      <c r="B9" s="360" t="s">
        <v>103</v>
      </c>
      <c r="C9" s="360"/>
      <c r="D9" s="360"/>
      <c r="E9" s="360"/>
    </row>
    <row r="10" spans="2:5" ht="13.5" thickBot="1">
      <c r="B10" s="135"/>
      <c r="C10" s="76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28" t="s">
        <v>109</v>
      </c>
      <c r="D11" s="243"/>
      <c r="E11" s="244"/>
    </row>
    <row r="12" spans="2:5">
      <c r="B12" s="174" t="s">
        <v>4</v>
      </c>
      <c r="C12" s="175" t="s">
        <v>5</v>
      </c>
      <c r="D12" s="283"/>
      <c r="E12" s="304"/>
    </row>
    <row r="13" spans="2:5">
      <c r="B13" s="174" t="s">
        <v>6</v>
      </c>
      <c r="C13" s="176" t="s">
        <v>7</v>
      </c>
      <c r="D13" s="276"/>
      <c r="E13" s="305"/>
    </row>
    <row r="14" spans="2:5">
      <c r="B14" s="174" t="s">
        <v>8</v>
      </c>
      <c r="C14" s="176" t="s">
        <v>10</v>
      </c>
      <c r="D14" s="276"/>
      <c r="E14" s="305"/>
    </row>
    <row r="15" spans="2:5">
      <c r="B15" s="174" t="s">
        <v>106</v>
      </c>
      <c r="C15" s="176" t="s">
        <v>11</v>
      </c>
      <c r="D15" s="276"/>
      <c r="E15" s="305"/>
    </row>
    <row r="16" spans="2:5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/>
      <c r="E21" s="148"/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245235.27</v>
      </c>
      <c r="E26" s="231"/>
    </row>
    <row r="27" spans="2:6">
      <c r="B27" s="9" t="s">
        <v>17</v>
      </c>
      <c r="C27" s="10" t="s">
        <v>111</v>
      </c>
      <c r="D27" s="202">
        <v>-246015.87</v>
      </c>
      <c r="E27" s="224"/>
      <c r="F27" s="71"/>
    </row>
    <row r="28" spans="2:6">
      <c r="B28" s="9" t="s">
        <v>18</v>
      </c>
      <c r="C28" s="10" t="s">
        <v>19</v>
      </c>
      <c r="D28" s="202">
        <v>0</v>
      </c>
      <c r="E28" s="225"/>
      <c r="F28" s="71"/>
    </row>
    <row r="29" spans="2:6">
      <c r="B29" s="182" t="s">
        <v>4</v>
      </c>
      <c r="C29" s="175" t="s">
        <v>20</v>
      </c>
      <c r="D29" s="203">
        <v>0</v>
      </c>
      <c r="E29" s="226"/>
      <c r="F29" s="71"/>
    </row>
    <row r="30" spans="2:6">
      <c r="B30" s="182" t="s">
        <v>6</v>
      </c>
      <c r="C30" s="175" t="s">
        <v>21</v>
      </c>
      <c r="D30" s="203">
        <v>0</v>
      </c>
      <c r="E30" s="226"/>
      <c r="F30" s="71"/>
    </row>
    <row r="31" spans="2:6">
      <c r="B31" s="182" t="s">
        <v>8</v>
      </c>
      <c r="C31" s="175" t="s">
        <v>22</v>
      </c>
      <c r="D31" s="203">
        <v>0</v>
      </c>
      <c r="E31" s="226"/>
      <c r="F31" s="71"/>
    </row>
    <row r="32" spans="2:6">
      <c r="B32" s="92" t="s">
        <v>23</v>
      </c>
      <c r="C32" s="11" t="s">
        <v>24</v>
      </c>
      <c r="D32" s="202">
        <v>246015.87</v>
      </c>
      <c r="E32" s="225"/>
      <c r="F32" s="71"/>
    </row>
    <row r="33" spans="2:6">
      <c r="B33" s="182" t="s">
        <v>4</v>
      </c>
      <c r="C33" s="175" t="s">
        <v>25</v>
      </c>
      <c r="D33" s="203">
        <v>53753.08</v>
      </c>
      <c r="E33" s="226"/>
      <c r="F33" s="71"/>
    </row>
    <row r="34" spans="2:6">
      <c r="B34" s="182" t="s">
        <v>6</v>
      </c>
      <c r="C34" s="175" t="s">
        <v>26</v>
      </c>
      <c r="D34" s="203">
        <v>0</v>
      </c>
      <c r="E34" s="226"/>
      <c r="F34" s="71"/>
    </row>
    <row r="35" spans="2:6">
      <c r="B35" s="182" t="s">
        <v>8</v>
      </c>
      <c r="C35" s="175" t="s">
        <v>27</v>
      </c>
      <c r="D35" s="203">
        <v>21.04</v>
      </c>
      <c r="E35" s="226"/>
      <c r="F35" s="71"/>
    </row>
    <row r="36" spans="2:6">
      <c r="B36" s="182" t="s">
        <v>9</v>
      </c>
      <c r="C36" s="175" t="s">
        <v>28</v>
      </c>
      <c r="D36" s="203">
        <v>0</v>
      </c>
      <c r="E36" s="226"/>
      <c r="F36" s="71"/>
    </row>
    <row r="37" spans="2:6" ht="25.5">
      <c r="B37" s="182" t="s">
        <v>29</v>
      </c>
      <c r="C37" s="175" t="s">
        <v>30</v>
      </c>
      <c r="D37" s="203">
        <v>2275.29</v>
      </c>
      <c r="E37" s="226"/>
      <c r="F37" s="71"/>
    </row>
    <row r="38" spans="2:6">
      <c r="B38" s="182" t="s">
        <v>31</v>
      </c>
      <c r="C38" s="175" t="s">
        <v>32</v>
      </c>
      <c r="D38" s="203">
        <v>0</v>
      </c>
      <c r="E38" s="226"/>
      <c r="F38" s="71"/>
    </row>
    <row r="39" spans="2:6">
      <c r="B39" s="183" t="s">
        <v>33</v>
      </c>
      <c r="C39" s="184" t="s">
        <v>34</v>
      </c>
      <c r="D39" s="204">
        <v>189966.46</v>
      </c>
      <c r="E39" s="227"/>
      <c r="F39" s="71"/>
    </row>
    <row r="40" spans="2:6" ht="13.5" thickBot="1">
      <c r="B40" s="97" t="s">
        <v>35</v>
      </c>
      <c r="C40" s="98" t="s">
        <v>36</v>
      </c>
      <c r="D40" s="205">
        <v>780.6</v>
      </c>
      <c r="E40" s="232"/>
    </row>
    <row r="41" spans="2:6" ht="13.5" thickBot="1">
      <c r="B41" s="99" t="s">
        <v>37</v>
      </c>
      <c r="C41" s="100" t="s">
        <v>38</v>
      </c>
      <c r="D41" s="206">
        <v>-5.7980287238024175E-12</v>
      </c>
      <c r="E41" s="148"/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149"/>
    </row>
    <row r="47" spans="2:6">
      <c r="B47" s="185" t="s">
        <v>4</v>
      </c>
      <c r="C47" s="186" t="s">
        <v>40</v>
      </c>
      <c r="D47" s="207">
        <v>31725.132000000001</v>
      </c>
      <c r="E47" s="149"/>
    </row>
    <row r="48" spans="2:6">
      <c r="B48" s="187" t="s">
        <v>6</v>
      </c>
      <c r="C48" s="188" t="s">
        <v>41</v>
      </c>
      <c r="D48" s="207">
        <v>0</v>
      </c>
      <c r="E48" s="149"/>
    </row>
    <row r="49" spans="2:5">
      <c r="B49" s="120" t="s">
        <v>23</v>
      </c>
      <c r="C49" s="124" t="s">
        <v>113</v>
      </c>
      <c r="D49" s="208"/>
      <c r="E49" s="149"/>
    </row>
    <row r="50" spans="2:5">
      <c r="B50" s="185" t="s">
        <v>4</v>
      </c>
      <c r="C50" s="186" t="s">
        <v>40</v>
      </c>
      <c r="D50" s="207">
        <v>7.73</v>
      </c>
      <c r="E50" s="149"/>
    </row>
    <row r="51" spans="2:5">
      <c r="B51" s="185" t="s">
        <v>6</v>
      </c>
      <c r="C51" s="186" t="s">
        <v>114</v>
      </c>
      <c r="D51" s="207">
        <v>7.12</v>
      </c>
      <c r="E51" s="75"/>
    </row>
    <row r="52" spans="2:5">
      <c r="B52" s="185" t="s">
        <v>8</v>
      </c>
      <c r="C52" s="186" t="s">
        <v>115</v>
      </c>
      <c r="D52" s="207">
        <v>8.5</v>
      </c>
      <c r="E52" s="75"/>
    </row>
    <row r="53" spans="2:5" ht="12.75" customHeight="1" thickBot="1">
      <c r="B53" s="189" t="s">
        <v>9</v>
      </c>
      <c r="C53" s="190" t="s">
        <v>41</v>
      </c>
      <c r="D53" s="209">
        <v>0</v>
      </c>
      <c r="E53" s="233"/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6.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0</v>
      </c>
      <c r="E58" s="31">
        <v>0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0</v>
      </c>
      <c r="E64" s="81">
        <v>0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0</v>
      </c>
      <c r="E74" s="66">
        <v>0</v>
      </c>
    </row>
    <row r="75" spans="2:5">
      <c r="B75" s="102" t="s">
        <v>4</v>
      </c>
      <c r="C75" s="15" t="s">
        <v>67</v>
      </c>
      <c r="D75" s="78">
        <v>0</v>
      </c>
      <c r="E75" s="79">
        <v>0</v>
      </c>
    </row>
    <row r="76" spans="2:5">
      <c r="B76" s="102" t="s">
        <v>6</v>
      </c>
      <c r="C76" s="15" t="s">
        <v>119</v>
      </c>
      <c r="D76" s="78">
        <f>D74</f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6"/>
  <dimension ref="A1:H81"/>
  <sheetViews>
    <sheetView zoomScale="80" zoomScaleNormal="80" workbookViewId="0">
      <selection activeCell="G21" sqref="G2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0.5703125" customWidth="1"/>
    <col min="8" max="8" width="12.42578125" bestFit="1" customWidth="1"/>
  </cols>
  <sheetData>
    <row r="1" spans="2:8">
      <c r="B1" s="1"/>
      <c r="C1" s="1"/>
      <c r="D1" s="2"/>
      <c r="E1" s="2"/>
    </row>
    <row r="2" spans="2:8" ht="15.75">
      <c r="B2" s="357" t="s">
        <v>0</v>
      </c>
      <c r="C2" s="357"/>
      <c r="D2" s="357"/>
      <c r="E2" s="357"/>
      <c r="H2" s="71"/>
    </row>
    <row r="3" spans="2:8" ht="15.75">
      <c r="B3" s="357" t="s">
        <v>267</v>
      </c>
      <c r="C3" s="357"/>
      <c r="D3" s="357"/>
      <c r="E3" s="357"/>
    </row>
    <row r="4" spans="2:8" ht="15">
      <c r="B4" s="134"/>
      <c r="C4" s="134"/>
      <c r="D4" s="134"/>
      <c r="E4" s="134"/>
    </row>
    <row r="5" spans="2:8" ht="21" customHeight="1">
      <c r="B5" s="358" t="s">
        <v>1</v>
      </c>
      <c r="C5" s="358"/>
      <c r="D5" s="358"/>
      <c r="E5" s="358"/>
    </row>
    <row r="6" spans="2:8" ht="14.25">
      <c r="B6" s="359" t="s">
        <v>169</v>
      </c>
      <c r="C6" s="359"/>
      <c r="D6" s="359"/>
      <c r="E6" s="359"/>
    </row>
    <row r="7" spans="2:8" ht="14.25">
      <c r="B7" s="133"/>
      <c r="C7" s="133"/>
      <c r="D7" s="133"/>
      <c r="E7" s="133"/>
    </row>
    <row r="8" spans="2:8" ht="13.5">
      <c r="B8" s="361" t="s">
        <v>18</v>
      </c>
      <c r="C8" s="363"/>
      <c r="D8" s="363"/>
      <c r="E8" s="363"/>
    </row>
    <row r="9" spans="2:8" ht="16.5" thickBot="1">
      <c r="B9" s="360" t="s">
        <v>103</v>
      </c>
      <c r="C9" s="360"/>
      <c r="D9" s="360"/>
      <c r="E9" s="360"/>
    </row>
    <row r="10" spans="2:8" ht="13.5" thickBot="1">
      <c r="B10" s="135"/>
      <c r="C10" s="76" t="s">
        <v>2</v>
      </c>
      <c r="D10" s="70" t="s">
        <v>125</v>
      </c>
      <c r="E10" s="319" t="s">
        <v>268</v>
      </c>
    </row>
    <row r="11" spans="2:8">
      <c r="B11" s="90" t="s">
        <v>3</v>
      </c>
      <c r="C11" s="128" t="s">
        <v>109</v>
      </c>
      <c r="D11" s="243">
        <v>5708222.1600000001</v>
      </c>
      <c r="E11" s="244">
        <f>SUM(E12:E14)</f>
        <v>2630051.5</v>
      </c>
    </row>
    <row r="12" spans="2:8">
      <c r="B12" s="174" t="s">
        <v>4</v>
      </c>
      <c r="C12" s="315" t="s">
        <v>5</v>
      </c>
      <c r="D12" s="283">
        <v>5708222.1600000001</v>
      </c>
      <c r="E12" s="304">
        <v>2630051.5</v>
      </c>
    </row>
    <row r="13" spans="2:8">
      <c r="B13" s="174" t="s">
        <v>6</v>
      </c>
      <c r="C13" s="176" t="s">
        <v>7</v>
      </c>
      <c r="D13" s="276"/>
      <c r="E13" s="305"/>
    </row>
    <row r="14" spans="2:8">
      <c r="B14" s="174" t="s">
        <v>8</v>
      </c>
      <c r="C14" s="176" t="s">
        <v>10</v>
      </c>
      <c r="D14" s="276"/>
      <c r="E14" s="305"/>
    </row>
    <row r="15" spans="2:8">
      <c r="B15" s="174" t="s">
        <v>106</v>
      </c>
      <c r="C15" s="176" t="s">
        <v>11</v>
      </c>
      <c r="D15" s="276"/>
      <c r="E15" s="305"/>
    </row>
    <row r="16" spans="2:8">
      <c r="B16" s="177" t="s">
        <v>107</v>
      </c>
      <c r="C16" s="178" t="s">
        <v>12</v>
      </c>
      <c r="D16" s="278"/>
      <c r="E16" s="306"/>
    </row>
    <row r="17" spans="2:7">
      <c r="B17" s="9" t="s">
        <v>13</v>
      </c>
      <c r="C17" s="11" t="s">
        <v>65</v>
      </c>
      <c r="D17" s="279"/>
      <c r="E17" s="307"/>
    </row>
    <row r="18" spans="2:7">
      <c r="B18" s="174" t="s">
        <v>4</v>
      </c>
      <c r="C18" s="175" t="s">
        <v>11</v>
      </c>
      <c r="D18" s="278"/>
      <c r="E18" s="306"/>
    </row>
    <row r="19" spans="2:7" ht="15" customHeight="1">
      <c r="B19" s="174" t="s">
        <v>6</v>
      </c>
      <c r="C19" s="176" t="s">
        <v>108</v>
      </c>
      <c r="D19" s="276"/>
      <c r="E19" s="305"/>
    </row>
    <row r="20" spans="2:7" ht="13.5" thickBot="1">
      <c r="B20" s="179" t="s">
        <v>8</v>
      </c>
      <c r="C20" s="180" t="s">
        <v>14</v>
      </c>
      <c r="D20" s="245"/>
      <c r="E20" s="246"/>
    </row>
    <row r="21" spans="2:7" ht="13.5" thickBot="1">
      <c r="B21" s="367" t="s">
        <v>110</v>
      </c>
      <c r="C21" s="368"/>
      <c r="D21" s="247">
        <v>5708222.1600000001</v>
      </c>
      <c r="E21" s="148">
        <f>E11-E17</f>
        <v>2630051.5</v>
      </c>
      <c r="F21" s="77"/>
      <c r="G21" s="67"/>
    </row>
    <row r="22" spans="2:7">
      <c r="B22" s="3"/>
      <c r="C22" s="7"/>
      <c r="D22" s="8"/>
      <c r="E22" s="8"/>
    </row>
    <row r="23" spans="2:7" ht="13.5">
      <c r="B23" s="361" t="s">
        <v>104</v>
      </c>
      <c r="C23" s="371"/>
      <c r="D23" s="371"/>
      <c r="E23" s="371"/>
    </row>
    <row r="24" spans="2:7" ht="15.75" customHeight="1" thickBot="1">
      <c r="B24" s="360" t="s">
        <v>105</v>
      </c>
      <c r="C24" s="372"/>
      <c r="D24" s="372"/>
      <c r="E24" s="372"/>
    </row>
    <row r="25" spans="2:7" ht="13.5" thickBot="1">
      <c r="B25" s="214"/>
      <c r="C25" s="181" t="s">
        <v>2</v>
      </c>
      <c r="D25" s="70" t="s">
        <v>125</v>
      </c>
      <c r="E25" s="319" t="s">
        <v>268</v>
      </c>
    </row>
    <row r="26" spans="2:7">
      <c r="B26" s="95" t="s">
        <v>15</v>
      </c>
      <c r="C26" s="96" t="s">
        <v>16</v>
      </c>
      <c r="D26" s="201">
        <v>5264394.12</v>
      </c>
      <c r="E26" s="231">
        <f>D21</f>
        <v>5708222.1600000001</v>
      </c>
    </row>
    <row r="27" spans="2:7">
      <c r="B27" s="9" t="s">
        <v>17</v>
      </c>
      <c r="C27" s="10" t="s">
        <v>111</v>
      </c>
      <c r="D27" s="202">
        <v>761299.89999999979</v>
      </c>
      <c r="E27" s="224">
        <v>-4264055.38</v>
      </c>
      <c r="F27" s="71"/>
    </row>
    <row r="28" spans="2:7">
      <c r="B28" s="9" t="s">
        <v>18</v>
      </c>
      <c r="C28" s="10" t="s">
        <v>19</v>
      </c>
      <c r="D28" s="202">
        <v>1803081.14</v>
      </c>
      <c r="E28" s="225">
        <v>50353.95</v>
      </c>
      <c r="F28" s="71"/>
    </row>
    <row r="29" spans="2:7">
      <c r="B29" s="182" t="s">
        <v>4</v>
      </c>
      <c r="C29" s="175" t="s">
        <v>20</v>
      </c>
      <c r="D29" s="203">
        <v>0</v>
      </c>
      <c r="E29" s="226">
        <v>0</v>
      </c>
      <c r="F29" s="71"/>
    </row>
    <row r="30" spans="2:7">
      <c r="B30" s="182" t="s">
        <v>6</v>
      </c>
      <c r="C30" s="175" t="s">
        <v>21</v>
      </c>
      <c r="D30" s="203">
        <v>0</v>
      </c>
      <c r="E30" s="226"/>
      <c r="F30" s="71"/>
    </row>
    <row r="31" spans="2:7">
      <c r="B31" s="182" t="s">
        <v>8</v>
      </c>
      <c r="C31" s="175" t="s">
        <v>22</v>
      </c>
      <c r="D31" s="203">
        <v>1803081.14</v>
      </c>
      <c r="E31" s="226">
        <v>50353.95</v>
      </c>
      <c r="F31" s="71"/>
    </row>
    <row r="32" spans="2:7">
      <c r="B32" s="92" t="s">
        <v>23</v>
      </c>
      <c r="C32" s="11" t="s">
        <v>24</v>
      </c>
      <c r="D32" s="202">
        <v>1041781.2400000001</v>
      </c>
      <c r="E32" s="225">
        <v>4314409.33</v>
      </c>
      <c r="F32" s="71"/>
    </row>
    <row r="33" spans="2:8">
      <c r="B33" s="182" t="s">
        <v>4</v>
      </c>
      <c r="C33" s="315" t="s">
        <v>25</v>
      </c>
      <c r="D33" s="256">
        <v>878332.87</v>
      </c>
      <c r="E33" s="226">
        <v>657909.77</v>
      </c>
      <c r="F33" s="71"/>
    </row>
    <row r="34" spans="2:8">
      <c r="B34" s="182" t="s">
        <v>6</v>
      </c>
      <c r="C34" s="175" t="s">
        <v>26</v>
      </c>
      <c r="D34" s="203">
        <v>0</v>
      </c>
      <c r="E34" s="226"/>
      <c r="F34" s="71"/>
    </row>
    <row r="35" spans="2:8">
      <c r="B35" s="182" t="s">
        <v>8</v>
      </c>
      <c r="C35" s="175" t="s">
        <v>27</v>
      </c>
      <c r="D35" s="203">
        <v>24623.56</v>
      </c>
      <c r="E35" s="226">
        <v>13559.75</v>
      </c>
      <c r="F35" s="71"/>
    </row>
    <row r="36" spans="2:8">
      <c r="B36" s="182" t="s">
        <v>9</v>
      </c>
      <c r="C36" s="175" t="s">
        <v>28</v>
      </c>
      <c r="D36" s="203">
        <v>0</v>
      </c>
      <c r="E36" s="226"/>
      <c r="F36" s="71"/>
    </row>
    <row r="37" spans="2:8" ht="25.5">
      <c r="B37" s="182" t="s">
        <v>29</v>
      </c>
      <c r="C37" s="175" t="s">
        <v>30</v>
      </c>
      <c r="D37" s="203">
        <v>100960.44</v>
      </c>
      <c r="E37" s="226">
        <v>55745.8</v>
      </c>
      <c r="F37" s="71"/>
    </row>
    <row r="38" spans="2:8">
      <c r="B38" s="182" t="s">
        <v>31</v>
      </c>
      <c r="C38" s="175" t="s">
        <v>32</v>
      </c>
      <c r="D38" s="203">
        <v>0</v>
      </c>
      <c r="E38" s="226"/>
      <c r="F38" s="71"/>
    </row>
    <row r="39" spans="2:8">
      <c r="B39" s="183" t="s">
        <v>33</v>
      </c>
      <c r="C39" s="184" t="s">
        <v>34</v>
      </c>
      <c r="D39" s="204">
        <v>37864.370000000003</v>
      </c>
      <c r="E39" s="227">
        <v>3587194.01</v>
      </c>
      <c r="F39" s="71"/>
    </row>
    <row r="40" spans="2:8" ht="13.5" thickBot="1">
      <c r="B40" s="97" t="s">
        <v>35</v>
      </c>
      <c r="C40" s="98" t="s">
        <v>36</v>
      </c>
      <c r="D40" s="205">
        <v>-317471.86</v>
      </c>
      <c r="E40" s="232">
        <v>1185884.72</v>
      </c>
    </row>
    <row r="41" spans="2:8" ht="13.5" thickBot="1">
      <c r="B41" s="99" t="s">
        <v>37</v>
      </c>
      <c r="C41" s="100" t="s">
        <v>38</v>
      </c>
      <c r="D41" s="206">
        <v>5708222.1599999992</v>
      </c>
      <c r="E41" s="148">
        <f>E26+E27+E40</f>
        <v>2630051.5</v>
      </c>
      <c r="F41" s="77"/>
    </row>
    <row r="42" spans="2:8">
      <c r="B42" s="93"/>
      <c r="C42" s="93"/>
      <c r="D42" s="94"/>
      <c r="E42" s="94"/>
      <c r="F42" s="77"/>
    </row>
    <row r="43" spans="2:8" ht="13.5">
      <c r="B43" s="362" t="s">
        <v>60</v>
      </c>
      <c r="C43" s="374"/>
      <c r="D43" s="374"/>
      <c r="E43" s="374"/>
    </row>
    <row r="44" spans="2:8" ht="18" customHeight="1" thickBot="1">
      <c r="B44" s="360" t="s">
        <v>121</v>
      </c>
      <c r="C44" s="373"/>
      <c r="D44" s="373"/>
      <c r="E44" s="373"/>
    </row>
    <row r="45" spans="2:8" ht="13.5" thickBot="1">
      <c r="B45" s="214"/>
      <c r="C45" s="29" t="s">
        <v>39</v>
      </c>
      <c r="D45" s="70" t="s">
        <v>125</v>
      </c>
      <c r="E45" s="319" t="s">
        <v>268</v>
      </c>
    </row>
    <row r="46" spans="2:8">
      <c r="B46" s="13" t="s">
        <v>18</v>
      </c>
      <c r="C46" s="30" t="s">
        <v>112</v>
      </c>
      <c r="D46" s="101"/>
      <c r="E46" s="28"/>
    </row>
    <row r="47" spans="2:8">
      <c r="B47" s="185" t="s">
        <v>4</v>
      </c>
      <c r="C47" s="186" t="s">
        <v>40</v>
      </c>
      <c r="D47" s="207">
        <v>194905.37299999999</v>
      </c>
      <c r="E47" s="149">
        <v>218957.505</v>
      </c>
    </row>
    <row r="48" spans="2:8">
      <c r="B48" s="187" t="s">
        <v>6</v>
      </c>
      <c r="C48" s="188" t="s">
        <v>41</v>
      </c>
      <c r="D48" s="207">
        <v>218957.505</v>
      </c>
      <c r="E48" s="316">
        <v>77904.369000000006</v>
      </c>
      <c r="G48" s="156"/>
      <c r="H48" s="156"/>
    </row>
    <row r="49" spans="2:5">
      <c r="B49" s="120" t="s">
        <v>23</v>
      </c>
      <c r="C49" s="124" t="s">
        <v>113</v>
      </c>
      <c r="D49" s="208"/>
      <c r="E49" s="317"/>
    </row>
    <row r="50" spans="2:5">
      <c r="B50" s="185" t="s">
        <v>4</v>
      </c>
      <c r="C50" s="186" t="s">
        <v>40</v>
      </c>
      <c r="D50" s="207">
        <v>27.01</v>
      </c>
      <c r="E50" s="317">
        <v>26.07</v>
      </c>
    </row>
    <row r="51" spans="2:5">
      <c r="B51" s="185" t="s">
        <v>6</v>
      </c>
      <c r="C51" s="186" t="s">
        <v>114</v>
      </c>
      <c r="D51" s="207">
        <v>24.21</v>
      </c>
      <c r="E51" s="318">
        <v>25.310000000000002</v>
      </c>
    </row>
    <row r="52" spans="2:5">
      <c r="B52" s="185" t="s">
        <v>8</v>
      </c>
      <c r="C52" s="186" t="s">
        <v>115</v>
      </c>
      <c r="D52" s="207">
        <v>31.85</v>
      </c>
      <c r="E52" s="318">
        <v>33.97</v>
      </c>
    </row>
    <row r="53" spans="2:5" ht="13.5" customHeight="1" thickBot="1">
      <c r="B53" s="189" t="s">
        <v>9</v>
      </c>
      <c r="C53" s="190" t="s">
        <v>41</v>
      </c>
      <c r="D53" s="209">
        <v>26.07</v>
      </c>
      <c r="E53" s="298">
        <v>33.76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6.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2630051.5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2630051.5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2630051.5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v>0</v>
      </c>
      <c r="E75" s="79">
        <v>0</v>
      </c>
    </row>
    <row r="76" spans="2:5">
      <c r="B76" s="102" t="s">
        <v>6</v>
      </c>
      <c r="C76" s="15" t="s">
        <v>119</v>
      </c>
      <c r="D76" s="78">
        <f>D74</f>
        <v>2630051.5</v>
      </c>
      <c r="E76" s="79">
        <f>E74</f>
        <v>1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7"/>
  <dimension ref="A1:G81"/>
  <sheetViews>
    <sheetView zoomScale="80" zoomScaleNormal="80" workbookViewId="0">
      <selection activeCell="G15" sqref="G15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47"/>
      <c r="C4" s="147"/>
      <c r="D4" s="147"/>
      <c r="E4" s="147"/>
    </row>
    <row r="5" spans="2:7" ht="14.25">
      <c r="B5" s="358" t="s">
        <v>1</v>
      </c>
      <c r="C5" s="358"/>
      <c r="D5" s="358"/>
      <c r="E5" s="358"/>
    </row>
    <row r="6" spans="2:7" ht="14.25">
      <c r="B6" s="359" t="s">
        <v>170</v>
      </c>
      <c r="C6" s="359"/>
      <c r="D6" s="359"/>
      <c r="E6" s="359"/>
    </row>
    <row r="7" spans="2:7" ht="14.25">
      <c r="B7" s="165"/>
      <c r="C7" s="165"/>
      <c r="D7" s="165"/>
      <c r="E7" s="165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66"/>
      <c r="C10" s="76" t="s">
        <v>2</v>
      </c>
      <c r="D10" s="70" t="s">
        <v>140</v>
      </c>
      <c r="E10" s="319" t="s">
        <v>268</v>
      </c>
      <c r="G10" t="s">
        <v>170</v>
      </c>
    </row>
    <row r="11" spans="2:7">
      <c r="B11" s="90" t="s">
        <v>3</v>
      </c>
      <c r="C11" s="128" t="s">
        <v>109</v>
      </c>
      <c r="D11" s="243">
        <v>237494.78</v>
      </c>
      <c r="E11" s="244">
        <f>SUM(E12:E14)</f>
        <v>374575.96</v>
      </c>
      <c r="G11" t="s">
        <v>171</v>
      </c>
    </row>
    <row r="12" spans="2:7">
      <c r="B12" s="174" t="s">
        <v>4</v>
      </c>
      <c r="C12" s="175" t="s">
        <v>5</v>
      </c>
      <c r="D12" s="283">
        <v>237494.78</v>
      </c>
      <c r="E12" s="304">
        <v>374575.96</v>
      </c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237494.78</v>
      </c>
      <c r="E21" s="148">
        <f>E11-E17</f>
        <v>374575.96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140</v>
      </c>
      <c r="E25" s="319" t="s">
        <v>268</v>
      </c>
    </row>
    <row r="26" spans="2:6">
      <c r="B26" s="95" t="s">
        <v>15</v>
      </c>
      <c r="C26" s="96" t="s">
        <v>16</v>
      </c>
      <c r="D26" s="201">
        <v>561298.48</v>
      </c>
      <c r="E26" s="231">
        <f>D21</f>
        <v>237494.78</v>
      </c>
    </row>
    <row r="27" spans="2:6">
      <c r="B27" s="9" t="s">
        <v>17</v>
      </c>
      <c r="C27" s="10" t="s">
        <v>111</v>
      </c>
      <c r="D27" s="202">
        <v>-284062.61</v>
      </c>
      <c r="E27" s="224">
        <v>100510.47</v>
      </c>
      <c r="F27" s="71"/>
    </row>
    <row r="28" spans="2:6">
      <c r="B28" s="9" t="s">
        <v>18</v>
      </c>
      <c r="C28" s="10" t="s">
        <v>19</v>
      </c>
      <c r="D28" s="202">
        <v>0</v>
      </c>
      <c r="E28" s="225">
        <v>109010.55</v>
      </c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/>
      <c r="E31" s="226">
        <v>109010.55</v>
      </c>
      <c r="F31" s="71"/>
    </row>
    <row r="32" spans="2:6">
      <c r="B32" s="92" t="s">
        <v>23</v>
      </c>
      <c r="C32" s="11" t="s">
        <v>24</v>
      </c>
      <c r="D32" s="202">
        <v>284062.61</v>
      </c>
      <c r="E32" s="225">
        <v>8500.08</v>
      </c>
      <c r="F32" s="71"/>
    </row>
    <row r="33" spans="2:6">
      <c r="B33" s="182" t="s">
        <v>4</v>
      </c>
      <c r="C33" s="175" t="s">
        <v>25</v>
      </c>
      <c r="D33" s="203">
        <v>261040.47</v>
      </c>
      <c r="E33" s="226"/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1713.48</v>
      </c>
      <c r="E35" s="226">
        <v>2785.93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6939.92</v>
      </c>
      <c r="E37" s="226">
        <v>5714.15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>
        <v>14368.74</v>
      </c>
      <c r="E39" s="227"/>
      <c r="F39" s="71"/>
    </row>
    <row r="40" spans="2:6" ht="13.5" thickBot="1">
      <c r="B40" s="97" t="s">
        <v>35</v>
      </c>
      <c r="C40" s="98" t="s">
        <v>36</v>
      </c>
      <c r="D40" s="205">
        <v>-39741.089999999997</v>
      </c>
      <c r="E40" s="232">
        <v>36570.71</v>
      </c>
    </row>
    <row r="41" spans="2:6" ht="13.5" thickBot="1">
      <c r="B41" s="99" t="s">
        <v>37</v>
      </c>
      <c r="C41" s="100" t="s">
        <v>38</v>
      </c>
      <c r="D41" s="206">
        <v>237494.78</v>
      </c>
      <c r="E41" s="148">
        <f>E26+E27+E40</f>
        <v>374575.96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140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50071.228999999999</v>
      </c>
      <c r="E47" s="149">
        <v>23125.1</v>
      </c>
    </row>
    <row r="48" spans="2:6">
      <c r="B48" s="187" t="s">
        <v>6</v>
      </c>
      <c r="C48" s="188" t="s">
        <v>41</v>
      </c>
      <c r="D48" s="207">
        <v>23125.1</v>
      </c>
      <c r="E48" s="293">
        <v>32487.074000000001</v>
      </c>
    </row>
    <row r="49" spans="2:5">
      <c r="B49" s="120" t="s">
        <v>23</v>
      </c>
      <c r="C49" s="124" t="s">
        <v>113</v>
      </c>
      <c r="D49" s="208"/>
      <c r="E49" s="235"/>
    </row>
    <row r="50" spans="2:5">
      <c r="B50" s="185" t="s">
        <v>4</v>
      </c>
      <c r="C50" s="186" t="s">
        <v>40</v>
      </c>
      <c r="D50" s="207">
        <v>11.21</v>
      </c>
      <c r="E50" s="235">
        <v>10.27</v>
      </c>
    </row>
    <row r="51" spans="2:5">
      <c r="B51" s="185" t="s">
        <v>6</v>
      </c>
      <c r="C51" s="186" t="s">
        <v>114</v>
      </c>
      <c r="D51" s="207">
        <v>10.08</v>
      </c>
      <c r="E51" s="236">
        <v>10.27</v>
      </c>
    </row>
    <row r="52" spans="2:5">
      <c r="B52" s="185" t="s">
        <v>8</v>
      </c>
      <c r="C52" s="186" t="s">
        <v>115</v>
      </c>
      <c r="D52" s="207">
        <v>11.29</v>
      </c>
      <c r="E52" s="301">
        <v>11.58</v>
      </c>
    </row>
    <row r="53" spans="2:5" ht="13.5" thickBot="1">
      <c r="B53" s="189" t="s">
        <v>9</v>
      </c>
      <c r="C53" s="190" t="s">
        <v>41</v>
      </c>
      <c r="D53" s="209">
        <v>10.27</v>
      </c>
      <c r="E53" s="302">
        <v>11.53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4.25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374575.96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374575.96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374575.96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v>0</v>
      </c>
      <c r="E75" s="79">
        <v>0</v>
      </c>
    </row>
    <row r="76" spans="2:5">
      <c r="B76" s="102" t="s">
        <v>6</v>
      </c>
      <c r="C76" s="15" t="s">
        <v>119</v>
      </c>
      <c r="D76" s="78">
        <f>D74</f>
        <v>374575.96</v>
      </c>
      <c r="E76" s="79">
        <f>E74</f>
        <v>1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8"/>
  <dimension ref="A1:G81"/>
  <sheetViews>
    <sheetView zoomScale="80" zoomScaleNormal="80" workbookViewId="0">
      <selection activeCell="L32" sqref="L32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47"/>
      <c r="C4" s="147"/>
      <c r="D4" s="147"/>
      <c r="E4" s="147"/>
    </row>
    <row r="5" spans="2:7" ht="14.25">
      <c r="B5" s="358" t="s">
        <v>1</v>
      </c>
      <c r="C5" s="358"/>
      <c r="D5" s="358"/>
      <c r="E5" s="358"/>
    </row>
    <row r="6" spans="2:7" ht="14.25">
      <c r="B6" s="359" t="s">
        <v>171</v>
      </c>
      <c r="C6" s="359"/>
      <c r="D6" s="359"/>
      <c r="E6" s="359"/>
    </row>
    <row r="7" spans="2:7" ht="14.25">
      <c r="B7" s="198"/>
      <c r="C7" s="198"/>
      <c r="D7" s="198"/>
      <c r="E7" s="198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99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237202.49</v>
      </c>
      <c r="E11" s="244">
        <f>SUM(E12:E14)</f>
        <v>240605.07</v>
      </c>
    </row>
    <row r="12" spans="2:7">
      <c r="B12" s="174" t="s">
        <v>4</v>
      </c>
      <c r="C12" s="175" t="s">
        <v>5</v>
      </c>
      <c r="D12" s="283">
        <v>237202.49</v>
      </c>
      <c r="E12" s="304">
        <v>240605.07</v>
      </c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237202.49</v>
      </c>
      <c r="E21" s="148">
        <f>E11-E17</f>
        <v>240605.07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248882.82</v>
      </c>
      <c r="E26" s="231">
        <f>D21</f>
        <v>237202.49</v>
      </c>
    </row>
    <row r="27" spans="2:6">
      <c r="B27" s="9" t="s">
        <v>17</v>
      </c>
      <c r="C27" s="10" t="s">
        <v>111</v>
      </c>
      <c r="D27" s="202">
        <v>-3820.1</v>
      </c>
      <c r="E27" s="224">
        <v>-3853.5</v>
      </c>
      <c r="F27" s="71"/>
    </row>
    <row r="28" spans="2:6">
      <c r="B28" s="9" t="s">
        <v>18</v>
      </c>
      <c r="C28" s="10" t="s">
        <v>19</v>
      </c>
      <c r="D28" s="202">
        <v>0</v>
      </c>
      <c r="E28" s="225">
        <v>0</v>
      </c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/>
      <c r="E31" s="226"/>
      <c r="F31" s="71"/>
    </row>
    <row r="32" spans="2:6">
      <c r="B32" s="92" t="s">
        <v>23</v>
      </c>
      <c r="C32" s="11" t="s">
        <v>24</v>
      </c>
      <c r="D32" s="202">
        <v>3820.1</v>
      </c>
      <c r="E32" s="225">
        <v>3853.5</v>
      </c>
      <c r="F32" s="71"/>
    </row>
    <row r="33" spans="2:6">
      <c r="B33" s="182" t="s">
        <v>4</v>
      </c>
      <c r="C33" s="175" t="s">
        <v>25</v>
      </c>
      <c r="D33" s="203"/>
      <c r="E33" s="226"/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/>
      <c r="E35" s="226"/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3820.1</v>
      </c>
      <c r="E37" s="226">
        <v>3853.5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/>
      <c r="E39" s="227"/>
      <c r="F39" s="71"/>
    </row>
    <row r="40" spans="2:6" ht="13.5" thickBot="1">
      <c r="B40" s="97" t="s">
        <v>35</v>
      </c>
      <c r="C40" s="98" t="s">
        <v>36</v>
      </c>
      <c r="D40" s="205">
        <v>-7860.23</v>
      </c>
      <c r="E40" s="232">
        <v>7256.08</v>
      </c>
    </row>
    <row r="41" spans="2:6" ht="13.5" thickBot="1">
      <c r="B41" s="99" t="s">
        <v>37</v>
      </c>
      <c r="C41" s="100" t="s">
        <v>38</v>
      </c>
      <c r="D41" s="206">
        <v>237202.49</v>
      </c>
      <c r="E41" s="148">
        <f>E26+E27+E40</f>
        <v>240605.06999999998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2434.538</v>
      </c>
      <c r="E47" s="149">
        <v>2396.7109999999998</v>
      </c>
    </row>
    <row r="48" spans="2:6">
      <c r="B48" s="187" t="s">
        <v>6</v>
      </c>
      <c r="C48" s="188" t="s">
        <v>41</v>
      </c>
      <c r="D48" s="207">
        <v>2396.7109999999998</v>
      </c>
      <c r="E48" s="291">
        <v>2358.6419999999998</v>
      </c>
    </row>
    <row r="49" spans="2:5">
      <c r="B49" s="120" t="s">
        <v>23</v>
      </c>
      <c r="C49" s="124" t="s">
        <v>113</v>
      </c>
      <c r="D49" s="208"/>
      <c r="E49" s="240"/>
    </row>
    <row r="50" spans="2:5">
      <c r="B50" s="185" t="s">
        <v>4</v>
      </c>
      <c r="C50" s="186" t="s">
        <v>40</v>
      </c>
      <c r="D50" s="207">
        <v>102.23</v>
      </c>
      <c r="E50" s="149">
        <v>98.97</v>
      </c>
    </row>
    <row r="51" spans="2:5">
      <c r="B51" s="185" t="s">
        <v>6</v>
      </c>
      <c r="C51" s="186" t="s">
        <v>114</v>
      </c>
      <c r="D51" s="207">
        <v>97.83</v>
      </c>
      <c r="E51" s="75">
        <v>98.94</v>
      </c>
    </row>
    <row r="52" spans="2:5">
      <c r="B52" s="185" t="s">
        <v>8</v>
      </c>
      <c r="C52" s="186" t="s">
        <v>115</v>
      </c>
      <c r="D52" s="207">
        <v>104.63</v>
      </c>
      <c r="E52" s="75">
        <v>103.61</v>
      </c>
    </row>
    <row r="53" spans="2:5" ht="13.5" thickBot="1">
      <c r="B53" s="189" t="s">
        <v>9</v>
      </c>
      <c r="C53" s="190" t="s">
        <v>41</v>
      </c>
      <c r="D53" s="209">
        <v>98.97</v>
      </c>
      <c r="E53" s="298">
        <v>102.01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4.25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240605.07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240605.07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240605.07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v>0</v>
      </c>
      <c r="E75" s="79">
        <v>0</v>
      </c>
    </row>
    <row r="76" spans="2:5">
      <c r="B76" s="102" t="s">
        <v>6</v>
      </c>
      <c r="C76" s="15" t="s">
        <v>119</v>
      </c>
      <c r="D76" s="78">
        <f>D74</f>
        <v>240605.07</v>
      </c>
      <c r="E76" s="79">
        <f>E74</f>
        <v>1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9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34"/>
      <c r="C4" s="134"/>
      <c r="D4" s="134"/>
      <c r="E4" s="134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172</v>
      </c>
      <c r="C6" s="359"/>
      <c r="D6" s="359"/>
      <c r="E6" s="359"/>
    </row>
    <row r="7" spans="2:7" ht="14.25">
      <c r="B7" s="133"/>
      <c r="C7" s="133"/>
      <c r="D7" s="133"/>
      <c r="E7" s="133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35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495016.01</v>
      </c>
      <c r="E11" s="244">
        <f>SUM(E12:E14)</f>
        <v>176046.98</v>
      </c>
    </row>
    <row r="12" spans="2:7">
      <c r="B12" s="174" t="s">
        <v>4</v>
      </c>
      <c r="C12" s="175" t="s">
        <v>5</v>
      </c>
      <c r="D12" s="283">
        <v>495016.01</v>
      </c>
      <c r="E12" s="304">
        <v>176046.98</v>
      </c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495016.01</v>
      </c>
      <c r="E21" s="148">
        <f>E11-E17</f>
        <v>176046.98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81">
        <v>431685.91</v>
      </c>
      <c r="E26" s="231">
        <f>D21</f>
        <v>495016.01</v>
      </c>
    </row>
    <row r="27" spans="2:6">
      <c r="B27" s="9" t="s">
        <v>17</v>
      </c>
      <c r="C27" s="10" t="s">
        <v>111</v>
      </c>
      <c r="D27" s="282">
        <v>181063.98000000004</v>
      </c>
      <c r="E27" s="224">
        <v>-424786.99</v>
      </c>
      <c r="F27" s="71"/>
    </row>
    <row r="28" spans="2:6">
      <c r="B28" s="9" t="s">
        <v>18</v>
      </c>
      <c r="C28" s="10" t="s">
        <v>19</v>
      </c>
      <c r="D28" s="282">
        <v>442788.02</v>
      </c>
      <c r="E28" s="225">
        <v>0</v>
      </c>
      <c r="F28" s="71"/>
    </row>
    <row r="29" spans="2:6">
      <c r="B29" s="182" t="s">
        <v>4</v>
      </c>
      <c r="C29" s="175" t="s">
        <v>20</v>
      </c>
      <c r="D29" s="283"/>
      <c r="E29" s="226"/>
      <c r="F29" s="71"/>
    </row>
    <row r="30" spans="2:6">
      <c r="B30" s="182" t="s">
        <v>6</v>
      </c>
      <c r="C30" s="175" t="s">
        <v>21</v>
      </c>
      <c r="D30" s="283"/>
      <c r="E30" s="226"/>
      <c r="F30" s="71"/>
    </row>
    <row r="31" spans="2:6">
      <c r="B31" s="182" t="s">
        <v>8</v>
      </c>
      <c r="C31" s="175" t="s">
        <v>22</v>
      </c>
      <c r="D31" s="283">
        <v>442788.02</v>
      </c>
      <c r="E31" s="226"/>
      <c r="F31" s="71"/>
    </row>
    <row r="32" spans="2:6">
      <c r="B32" s="92" t="s">
        <v>23</v>
      </c>
      <c r="C32" s="11" t="s">
        <v>24</v>
      </c>
      <c r="D32" s="282">
        <v>261724.03999999998</v>
      </c>
      <c r="E32" s="225">
        <v>424786.99</v>
      </c>
      <c r="F32" s="71"/>
    </row>
    <row r="33" spans="2:6">
      <c r="B33" s="182" t="s">
        <v>4</v>
      </c>
      <c r="C33" s="175" t="s">
        <v>25</v>
      </c>
      <c r="D33" s="283">
        <v>210460.39</v>
      </c>
      <c r="E33" s="226">
        <v>415657.09</v>
      </c>
      <c r="F33" s="71"/>
    </row>
    <row r="34" spans="2:6">
      <c r="B34" s="182" t="s">
        <v>6</v>
      </c>
      <c r="C34" s="175" t="s">
        <v>26</v>
      </c>
      <c r="D34" s="283"/>
      <c r="E34" s="226"/>
      <c r="F34" s="71"/>
    </row>
    <row r="35" spans="2:6">
      <c r="B35" s="182" t="s">
        <v>8</v>
      </c>
      <c r="C35" s="175" t="s">
        <v>27</v>
      </c>
      <c r="D35" s="283">
        <v>1161.83</v>
      </c>
      <c r="E35" s="226">
        <v>1702.9</v>
      </c>
      <c r="F35" s="71"/>
    </row>
    <row r="36" spans="2:6">
      <c r="B36" s="182" t="s">
        <v>9</v>
      </c>
      <c r="C36" s="175" t="s">
        <v>28</v>
      </c>
      <c r="D36" s="283"/>
      <c r="E36" s="226"/>
      <c r="F36" s="71"/>
    </row>
    <row r="37" spans="2:6" ht="25.5">
      <c r="B37" s="182" t="s">
        <v>29</v>
      </c>
      <c r="C37" s="175" t="s">
        <v>30</v>
      </c>
      <c r="D37" s="283">
        <v>12869.96</v>
      </c>
      <c r="E37" s="226">
        <v>7427</v>
      </c>
      <c r="F37" s="71"/>
    </row>
    <row r="38" spans="2:6">
      <c r="B38" s="182" t="s">
        <v>31</v>
      </c>
      <c r="C38" s="175" t="s">
        <v>32</v>
      </c>
      <c r="D38" s="283"/>
      <c r="E38" s="226"/>
      <c r="F38" s="71"/>
    </row>
    <row r="39" spans="2:6">
      <c r="B39" s="183" t="s">
        <v>33</v>
      </c>
      <c r="C39" s="184" t="s">
        <v>34</v>
      </c>
      <c r="D39" s="284">
        <v>37231.86</v>
      </c>
      <c r="E39" s="227"/>
      <c r="F39" s="71"/>
    </row>
    <row r="40" spans="2:6" ht="13.5" thickBot="1">
      <c r="B40" s="97" t="s">
        <v>35</v>
      </c>
      <c r="C40" s="98" t="s">
        <v>36</v>
      </c>
      <c r="D40" s="285">
        <v>-117733.88</v>
      </c>
      <c r="E40" s="232">
        <v>105817.96</v>
      </c>
    </row>
    <row r="41" spans="2:6" ht="13.5" thickBot="1">
      <c r="B41" s="99" t="s">
        <v>37</v>
      </c>
      <c r="C41" s="100" t="s">
        <v>38</v>
      </c>
      <c r="D41" s="247">
        <v>495016.01</v>
      </c>
      <c r="E41" s="148">
        <f>E26+E27+E40</f>
        <v>176046.98000000004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60">
        <v>1416.5712000000001</v>
      </c>
      <c r="E47" s="149">
        <v>1968.6459</v>
      </c>
    </row>
    <row r="48" spans="2:6">
      <c r="B48" s="187" t="s">
        <v>6</v>
      </c>
      <c r="C48" s="188" t="s">
        <v>41</v>
      </c>
      <c r="D48" s="260">
        <v>1968.6459</v>
      </c>
      <c r="E48" s="293">
        <v>565.77639999999997</v>
      </c>
    </row>
    <row r="49" spans="2:5">
      <c r="B49" s="120" t="s">
        <v>23</v>
      </c>
      <c r="C49" s="124" t="s">
        <v>113</v>
      </c>
      <c r="D49" s="262"/>
      <c r="E49" s="235"/>
    </row>
    <row r="50" spans="2:5">
      <c r="B50" s="185" t="s">
        <v>4</v>
      </c>
      <c r="C50" s="186" t="s">
        <v>40</v>
      </c>
      <c r="D50" s="260">
        <v>304.74</v>
      </c>
      <c r="E50" s="235">
        <v>251.45</v>
      </c>
    </row>
    <row r="51" spans="2:5">
      <c r="B51" s="185" t="s">
        <v>6</v>
      </c>
      <c r="C51" s="186" t="s">
        <v>114</v>
      </c>
      <c r="D51" s="260">
        <v>247.7</v>
      </c>
      <c r="E51" s="235">
        <v>246.9</v>
      </c>
    </row>
    <row r="52" spans="2:5">
      <c r="B52" s="185" t="s">
        <v>8</v>
      </c>
      <c r="C52" s="186" t="s">
        <v>115</v>
      </c>
      <c r="D52" s="260">
        <v>346.85</v>
      </c>
      <c r="E52" s="236">
        <v>312.02999999999997</v>
      </c>
    </row>
    <row r="53" spans="2:5" ht="14.25" customHeight="1" thickBot="1">
      <c r="B53" s="189" t="s">
        <v>9</v>
      </c>
      <c r="C53" s="190" t="s">
        <v>41</v>
      </c>
      <c r="D53" s="209">
        <v>251.45</v>
      </c>
      <c r="E53" s="292">
        <v>311.16000000000003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6.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176046.98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176046.98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176046.98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176046.98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0">
    <pageSetUpPr fitToPage="1"/>
  </sheetPr>
  <dimension ref="A1:G81"/>
  <sheetViews>
    <sheetView zoomScale="80" zoomScaleNormal="80" workbookViewId="0">
      <selection activeCell="J15" sqref="J15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34"/>
      <c r="C4" s="134"/>
      <c r="D4" s="134"/>
      <c r="E4" s="134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173</v>
      </c>
      <c r="C6" s="359"/>
      <c r="D6" s="359"/>
      <c r="E6" s="359"/>
    </row>
    <row r="7" spans="2:7" ht="14.25">
      <c r="B7" s="133"/>
      <c r="C7" s="133"/>
      <c r="D7" s="133"/>
      <c r="E7" s="133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35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133581.01999999999</v>
      </c>
      <c r="E11" s="244">
        <f>SUM(E12:E14)</f>
        <v>54284.9</v>
      </c>
    </row>
    <row r="12" spans="2:7">
      <c r="B12" s="174" t="s">
        <v>4</v>
      </c>
      <c r="C12" s="175" t="s">
        <v>5</v>
      </c>
      <c r="D12" s="283">
        <v>133581.01999999999</v>
      </c>
      <c r="E12" s="304">
        <v>54284.9</v>
      </c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133581.01999999999</v>
      </c>
      <c r="E21" s="148">
        <f>E11-E17</f>
        <v>54284.9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151435.88</v>
      </c>
      <c r="E26" s="231">
        <f>D21</f>
        <v>133581.01999999999</v>
      </c>
    </row>
    <row r="27" spans="2:6">
      <c r="B27" s="9" t="s">
        <v>17</v>
      </c>
      <c r="C27" s="10" t="s">
        <v>111</v>
      </c>
      <c r="D27" s="202">
        <v>2035.3000000000175</v>
      </c>
      <c r="E27" s="224">
        <v>-95176.22</v>
      </c>
      <c r="F27" s="71"/>
    </row>
    <row r="28" spans="2:6">
      <c r="B28" s="9" t="s">
        <v>18</v>
      </c>
      <c r="C28" s="10" t="s">
        <v>19</v>
      </c>
      <c r="D28" s="202">
        <v>144657.85</v>
      </c>
      <c r="E28" s="225">
        <v>74747.83</v>
      </c>
      <c r="F28" s="71"/>
    </row>
    <row r="29" spans="2:6">
      <c r="B29" s="182" t="s">
        <v>4</v>
      </c>
      <c r="C29" s="175" t="s">
        <v>20</v>
      </c>
      <c r="D29" s="203">
        <v>11891.2</v>
      </c>
      <c r="E29" s="226">
        <v>18161.96</v>
      </c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>
        <v>132766.65</v>
      </c>
      <c r="E31" s="226">
        <v>56585.87</v>
      </c>
      <c r="F31" s="71"/>
    </row>
    <row r="32" spans="2:6">
      <c r="B32" s="92" t="s">
        <v>23</v>
      </c>
      <c r="C32" s="11" t="s">
        <v>24</v>
      </c>
      <c r="D32" s="202">
        <v>142622.54999999999</v>
      </c>
      <c r="E32" s="225">
        <v>169924.05</v>
      </c>
      <c r="F32" s="71"/>
    </row>
    <row r="33" spans="2:6">
      <c r="B33" s="182" t="s">
        <v>4</v>
      </c>
      <c r="C33" s="175" t="s">
        <v>25</v>
      </c>
      <c r="D33" s="203">
        <v>8354.07</v>
      </c>
      <c r="E33" s="226">
        <v>11990.47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672.82</v>
      </c>
      <c r="E35" s="226">
        <v>537.72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1573.08</v>
      </c>
      <c r="E37" s="226">
        <v>910.68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>
        <v>132022.57999999999</v>
      </c>
      <c r="E39" s="227">
        <v>156485.18</v>
      </c>
      <c r="F39" s="71"/>
    </row>
    <row r="40" spans="2:6" ht="13.5" thickBot="1">
      <c r="B40" s="97" t="s">
        <v>35</v>
      </c>
      <c r="C40" s="98" t="s">
        <v>36</v>
      </c>
      <c r="D40" s="205">
        <v>-19890.16</v>
      </c>
      <c r="E40" s="232">
        <v>15880.1</v>
      </c>
    </row>
    <row r="41" spans="2:6" ht="13.5" thickBot="1">
      <c r="B41" s="99" t="s">
        <v>37</v>
      </c>
      <c r="C41" s="100" t="s">
        <v>38</v>
      </c>
      <c r="D41" s="206">
        <v>133581.02000000002</v>
      </c>
      <c r="E41" s="148">
        <f>E26+E27+E40</f>
        <v>54284.899999999987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345.00360000000001</v>
      </c>
      <c r="E47" s="149">
        <v>322.20030000000003</v>
      </c>
    </row>
    <row r="48" spans="2:6">
      <c r="B48" s="187" t="s">
        <v>6</v>
      </c>
      <c r="C48" s="188" t="s">
        <v>41</v>
      </c>
      <c r="D48" s="207">
        <v>322.20030000000003</v>
      </c>
      <c r="E48" s="293">
        <v>110.1404</v>
      </c>
    </row>
    <row r="49" spans="2:5">
      <c r="B49" s="120" t="s">
        <v>23</v>
      </c>
      <c r="C49" s="124" t="s">
        <v>113</v>
      </c>
      <c r="D49" s="208"/>
      <c r="E49" s="235"/>
    </row>
    <row r="50" spans="2:5">
      <c r="B50" s="185" t="s">
        <v>4</v>
      </c>
      <c r="C50" s="186" t="s">
        <v>40</v>
      </c>
      <c r="D50" s="207">
        <v>438.94</v>
      </c>
      <c r="E50" s="235">
        <v>414.59</v>
      </c>
    </row>
    <row r="51" spans="2:5">
      <c r="B51" s="185" t="s">
        <v>6</v>
      </c>
      <c r="C51" s="186" t="s">
        <v>114</v>
      </c>
      <c r="D51" s="207">
        <v>403.66</v>
      </c>
      <c r="E51" s="235">
        <v>410.28000000000003</v>
      </c>
    </row>
    <row r="52" spans="2:5">
      <c r="B52" s="185" t="s">
        <v>8</v>
      </c>
      <c r="C52" s="186" t="s">
        <v>115</v>
      </c>
      <c r="D52" s="207">
        <v>502.82</v>
      </c>
      <c r="E52" s="236">
        <v>494.34</v>
      </c>
    </row>
    <row r="53" spans="2:5" ht="13.5" customHeight="1" thickBot="1">
      <c r="B53" s="189" t="s">
        <v>9</v>
      </c>
      <c r="C53" s="190" t="s">
        <v>41</v>
      </c>
      <c r="D53" s="209">
        <v>414.59</v>
      </c>
      <c r="E53" s="298">
        <v>492.87</v>
      </c>
    </row>
    <row r="54" spans="2:5">
      <c r="B54" s="109"/>
      <c r="C54" s="110"/>
      <c r="D54" s="111"/>
      <c r="E54" s="200"/>
    </row>
    <row r="55" spans="2:5" ht="13.5">
      <c r="B55" s="362" t="s">
        <v>62</v>
      </c>
      <c r="C55" s="363"/>
      <c r="D55" s="363"/>
      <c r="E55" s="363"/>
    </row>
    <row r="56" spans="2:5" ht="20.2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54284.9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3.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54284.9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54284.9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54284.9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1"/>
  <dimension ref="A1:F81"/>
  <sheetViews>
    <sheetView zoomScale="80" zoomScaleNormal="80" workbookViewId="0">
      <selection activeCell="I8" sqref="I8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134"/>
      <c r="C4" s="134"/>
      <c r="D4" s="134"/>
      <c r="E4" s="134"/>
    </row>
    <row r="5" spans="2:5" ht="21" customHeight="1">
      <c r="B5" s="358" t="s">
        <v>1</v>
      </c>
      <c r="C5" s="358"/>
      <c r="D5" s="358"/>
      <c r="E5" s="358"/>
    </row>
    <row r="6" spans="2:5" ht="14.25">
      <c r="B6" s="359" t="s">
        <v>174</v>
      </c>
      <c r="C6" s="359"/>
      <c r="D6" s="359"/>
      <c r="E6" s="359"/>
    </row>
    <row r="7" spans="2:5" ht="14.25">
      <c r="B7" s="133"/>
      <c r="C7" s="133"/>
      <c r="D7" s="133"/>
      <c r="E7" s="133"/>
    </row>
    <row r="8" spans="2:5" ht="13.5">
      <c r="B8" s="361" t="s">
        <v>18</v>
      </c>
      <c r="C8" s="363"/>
      <c r="D8" s="363"/>
      <c r="E8" s="363"/>
    </row>
    <row r="9" spans="2:5" ht="16.5" thickBot="1">
      <c r="B9" s="360" t="s">
        <v>103</v>
      </c>
      <c r="C9" s="360"/>
      <c r="D9" s="360"/>
      <c r="E9" s="360"/>
    </row>
    <row r="10" spans="2:5" ht="13.5" thickBot="1">
      <c r="B10" s="135"/>
      <c r="C10" s="76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28" t="s">
        <v>109</v>
      </c>
      <c r="D11" s="243">
        <v>184427.76</v>
      </c>
      <c r="E11" s="244">
        <f>SUM(E12:E14)</f>
        <v>322565.65000000002</v>
      </c>
    </row>
    <row r="12" spans="2:5">
      <c r="B12" s="106" t="s">
        <v>4</v>
      </c>
      <c r="C12" s="6" t="s">
        <v>5</v>
      </c>
      <c r="D12" s="283">
        <v>184427.76</v>
      </c>
      <c r="E12" s="304">
        <f>322713.51-147.86</f>
        <v>322565.65000000002</v>
      </c>
    </row>
    <row r="13" spans="2:5">
      <c r="B13" s="106" t="s">
        <v>6</v>
      </c>
      <c r="C13" s="68" t="s">
        <v>7</v>
      </c>
      <c r="D13" s="276"/>
      <c r="E13" s="305"/>
    </row>
    <row r="14" spans="2:5">
      <c r="B14" s="106" t="s">
        <v>8</v>
      </c>
      <c r="C14" s="68" t="s">
        <v>10</v>
      </c>
      <c r="D14" s="276"/>
      <c r="E14" s="305"/>
    </row>
    <row r="15" spans="2:5">
      <c r="B15" s="106" t="s">
        <v>106</v>
      </c>
      <c r="C15" s="68" t="s">
        <v>11</v>
      </c>
      <c r="D15" s="276"/>
      <c r="E15" s="305"/>
    </row>
    <row r="16" spans="2:5">
      <c r="B16" s="107" t="s">
        <v>107</v>
      </c>
      <c r="C16" s="91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06" t="s">
        <v>4</v>
      </c>
      <c r="C18" s="6" t="s">
        <v>11</v>
      </c>
      <c r="D18" s="278"/>
      <c r="E18" s="306"/>
    </row>
    <row r="19" spans="2:6" ht="15" customHeight="1">
      <c r="B19" s="106" t="s">
        <v>6</v>
      </c>
      <c r="C19" s="68" t="s">
        <v>108</v>
      </c>
      <c r="D19" s="276"/>
      <c r="E19" s="305"/>
    </row>
    <row r="20" spans="2:6" ht="13.5" thickBot="1">
      <c r="B20" s="108" t="s">
        <v>8</v>
      </c>
      <c r="C20" s="69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184427.76</v>
      </c>
      <c r="E21" s="148">
        <f>E11-E17</f>
        <v>322565.65000000002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69"/>
      <c r="D23" s="369"/>
      <c r="E23" s="369"/>
    </row>
    <row r="24" spans="2:6" ht="15.75" customHeight="1" thickBot="1">
      <c r="B24" s="360" t="s">
        <v>105</v>
      </c>
      <c r="C24" s="370"/>
      <c r="D24" s="370"/>
      <c r="E24" s="370"/>
    </row>
    <row r="25" spans="2:6" ht="13.5" thickBot="1">
      <c r="B25" s="135"/>
      <c r="C25" s="5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323622.02</v>
      </c>
      <c r="E26" s="231">
        <f>D21</f>
        <v>184427.76</v>
      </c>
    </row>
    <row r="27" spans="2:6">
      <c r="B27" s="9" t="s">
        <v>17</v>
      </c>
      <c r="C27" s="10" t="s">
        <v>111</v>
      </c>
      <c r="D27" s="202">
        <v>-98500.09</v>
      </c>
      <c r="E27" s="224">
        <f>E28-E32</f>
        <v>109536.49999999999</v>
      </c>
      <c r="F27" s="71"/>
    </row>
    <row r="28" spans="2:6">
      <c r="B28" s="9" t="s">
        <v>18</v>
      </c>
      <c r="C28" s="10" t="s">
        <v>19</v>
      </c>
      <c r="D28" s="202">
        <v>22870.080000000002</v>
      </c>
      <c r="E28" s="225">
        <v>144043.85999999999</v>
      </c>
      <c r="F28" s="71"/>
    </row>
    <row r="29" spans="2:6">
      <c r="B29" s="104" t="s">
        <v>4</v>
      </c>
      <c r="C29" s="6" t="s">
        <v>20</v>
      </c>
      <c r="D29" s="203">
        <v>16185.93</v>
      </c>
      <c r="E29" s="226">
        <v>114832.2</v>
      </c>
      <c r="F29" s="71"/>
    </row>
    <row r="30" spans="2:6">
      <c r="B30" s="104" t="s">
        <v>6</v>
      </c>
      <c r="C30" s="6" t="s">
        <v>21</v>
      </c>
      <c r="D30" s="203"/>
      <c r="E30" s="226"/>
      <c r="F30" s="71"/>
    </row>
    <row r="31" spans="2:6">
      <c r="B31" s="104" t="s">
        <v>8</v>
      </c>
      <c r="C31" s="6" t="s">
        <v>22</v>
      </c>
      <c r="D31" s="203">
        <v>6684.15</v>
      </c>
      <c r="E31" s="226">
        <v>29211.66</v>
      </c>
      <c r="F31" s="71"/>
    </row>
    <row r="32" spans="2:6">
      <c r="B32" s="92" t="s">
        <v>23</v>
      </c>
      <c r="C32" s="11" t="s">
        <v>24</v>
      </c>
      <c r="D32" s="202">
        <v>121370.17</v>
      </c>
      <c r="E32" s="225">
        <f>SUM(E33:E39)</f>
        <v>34507.360000000001</v>
      </c>
      <c r="F32" s="71"/>
    </row>
    <row r="33" spans="2:6">
      <c r="B33" s="104" t="s">
        <v>4</v>
      </c>
      <c r="C33" s="6" t="s">
        <v>25</v>
      </c>
      <c r="D33" s="203">
        <v>51912.58</v>
      </c>
      <c r="E33" s="226">
        <f>19823.75+140.78</f>
        <v>19964.53</v>
      </c>
      <c r="F33" s="71"/>
    </row>
    <row r="34" spans="2:6">
      <c r="B34" s="104" t="s">
        <v>6</v>
      </c>
      <c r="C34" s="6" t="s">
        <v>26</v>
      </c>
      <c r="D34" s="203"/>
      <c r="E34" s="226"/>
      <c r="F34" s="71"/>
    </row>
    <row r="35" spans="2:6">
      <c r="B35" s="104" t="s">
        <v>8</v>
      </c>
      <c r="C35" s="6" t="s">
        <v>27</v>
      </c>
      <c r="D35" s="203">
        <v>1154.6400000000001</v>
      </c>
      <c r="E35" s="226">
        <v>1140.0899999999999</v>
      </c>
      <c r="F35" s="71"/>
    </row>
    <row r="36" spans="2:6">
      <c r="B36" s="104" t="s">
        <v>9</v>
      </c>
      <c r="C36" s="6" t="s">
        <v>28</v>
      </c>
      <c r="D36" s="203"/>
      <c r="E36" s="226"/>
      <c r="F36" s="71"/>
    </row>
    <row r="37" spans="2:6" ht="25.5">
      <c r="B37" s="104" t="s">
        <v>29</v>
      </c>
      <c r="C37" s="6" t="s">
        <v>30</v>
      </c>
      <c r="D37" s="203">
        <v>3628.21</v>
      </c>
      <c r="E37" s="226">
        <v>2861.66</v>
      </c>
      <c r="F37" s="71"/>
    </row>
    <row r="38" spans="2:6">
      <c r="B38" s="104" t="s">
        <v>31</v>
      </c>
      <c r="C38" s="6" t="s">
        <v>32</v>
      </c>
      <c r="D38" s="203"/>
      <c r="E38" s="226"/>
      <c r="F38" s="71"/>
    </row>
    <row r="39" spans="2:6">
      <c r="B39" s="105" t="s">
        <v>33</v>
      </c>
      <c r="C39" s="12" t="s">
        <v>34</v>
      </c>
      <c r="D39" s="204">
        <v>64674.74</v>
      </c>
      <c r="E39" s="227">
        <v>10541.080000000002</v>
      </c>
      <c r="F39" s="71"/>
    </row>
    <row r="40" spans="2:6" ht="13.5" thickBot="1">
      <c r="B40" s="97" t="s">
        <v>35</v>
      </c>
      <c r="C40" s="98" t="s">
        <v>36</v>
      </c>
      <c r="D40" s="205">
        <v>-40694.17</v>
      </c>
      <c r="E40" s="232">
        <v>28601.39</v>
      </c>
    </row>
    <row r="41" spans="2:6" ht="13.5" thickBot="1">
      <c r="B41" s="99" t="s">
        <v>37</v>
      </c>
      <c r="C41" s="100" t="s">
        <v>38</v>
      </c>
      <c r="D41" s="206">
        <v>184427.76</v>
      </c>
      <c r="E41" s="148">
        <f>E26+E27+E40</f>
        <v>322565.65000000002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63"/>
      <c r="D43" s="363"/>
      <c r="E43" s="363"/>
    </row>
    <row r="44" spans="2:6" ht="18" customHeight="1" thickBot="1">
      <c r="B44" s="360" t="s">
        <v>121</v>
      </c>
      <c r="C44" s="364"/>
      <c r="D44" s="364"/>
      <c r="E44" s="364"/>
    </row>
    <row r="45" spans="2:6" ht="13.5" thickBot="1">
      <c r="B45" s="135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7">
        <v>1100.6803</v>
      </c>
      <c r="E47" s="149">
        <v>739.42650000000003</v>
      </c>
    </row>
    <row r="48" spans="2:6">
      <c r="B48" s="123" t="s">
        <v>6</v>
      </c>
      <c r="C48" s="22" t="s">
        <v>41</v>
      </c>
      <c r="D48" s="207">
        <v>739.42650000000003</v>
      </c>
      <c r="E48" s="293">
        <v>1111.9885999999999</v>
      </c>
    </row>
    <row r="49" spans="2:5">
      <c r="B49" s="120" t="s">
        <v>23</v>
      </c>
      <c r="C49" s="124" t="s">
        <v>113</v>
      </c>
      <c r="D49" s="208"/>
      <c r="E49" s="235"/>
    </row>
    <row r="50" spans="2:5">
      <c r="B50" s="102" t="s">
        <v>4</v>
      </c>
      <c r="C50" s="15" t="s">
        <v>40</v>
      </c>
      <c r="D50" s="207">
        <v>294.02</v>
      </c>
      <c r="E50" s="235">
        <v>249.42</v>
      </c>
    </row>
    <row r="51" spans="2:5">
      <c r="B51" s="102" t="s">
        <v>6</v>
      </c>
      <c r="C51" s="15" t="s">
        <v>114</v>
      </c>
      <c r="D51" s="207">
        <v>246.46</v>
      </c>
      <c r="E51" s="236">
        <v>248.48000000000002</v>
      </c>
    </row>
    <row r="52" spans="2:5">
      <c r="B52" s="102" t="s">
        <v>8</v>
      </c>
      <c r="C52" s="15" t="s">
        <v>115</v>
      </c>
      <c r="D52" s="207">
        <v>307.20999999999998</v>
      </c>
      <c r="E52" s="236">
        <v>295.27999999999997</v>
      </c>
    </row>
    <row r="53" spans="2:5" ht="12.75" customHeight="1" thickBot="1">
      <c r="B53" s="103" t="s">
        <v>9</v>
      </c>
      <c r="C53" s="17" t="s">
        <v>41</v>
      </c>
      <c r="D53" s="209">
        <v>249.42</v>
      </c>
      <c r="E53" s="298">
        <v>290.08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5.7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322565.65000000002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3.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322565.65000000002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322565.65000000002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322565.65000000002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48" right="0.75" top="0.52" bottom="0.43" header="0.5" footer="0.5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85"/>
      <c r="C4" s="85"/>
      <c r="D4" s="85"/>
      <c r="E4" s="85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88</v>
      </c>
      <c r="C6" s="359"/>
      <c r="D6" s="359"/>
      <c r="E6" s="359"/>
    </row>
    <row r="7" spans="2:7" ht="14.25">
      <c r="B7" s="89"/>
      <c r="C7" s="89"/>
      <c r="D7" s="89"/>
      <c r="E7" s="89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86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41286140.060000002</v>
      </c>
      <c r="E11" s="244">
        <f>SUM(E12:E14)</f>
        <v>40331274.960000001</v>
      </c>
    </row>
    <row r="12" spans="2:7">
      <c r="B12" s="106" t="s">
        <v>4</v>
      </c>
      <c r="C12" s="6" t="s">
        <v>5</v>
      </c>
      <c r="D12" s="283">
        <v>41140318.57</v>
      </c>
      <c r="E12" s="304">
        <f>40334061.77+142379.69-307166.78</f>
        <v>40169274.68</v>
      </c>
    </row>
    <row r="13" spans="2:7">
      <c r="B13" s="106" t="s">
        <v>6</v>
      </c>
      <c r="C13" s="68" t="s">
        <v>7</v>
      </c>
      <c r="D13" s="276"/>
      <c r="E13" s="305"/>
    </row>
    <row r="14" spans="2:7">
      <c r="B14" s="106" t="s">
        <v>8</v>
      </c>
      <c r="C14" s="68" t="s">
        <v>10</v>
      </c>
      <c r="D14" s="276">
        <v>145821.49</v>
      </c>
      <c r="E14" s="305">
        <f>E15</f>
        <v>162000.28</v>
      </c>
    </row>
    <row r="15" spans="2:7">
      <c r="B15" s="106" t="s">
        <v>106</v>
      </c>
      <c r="C15" s="68" t="s">
        <v>11</v>
      </c>
      <c r="D15" s="276">
        <v>145821.49</v>
      </c>
      <c r="E15" s="305">
        <v>162000.28</v>
      </c>
    </row>
    <row r="16" spans="2:7">
      <c r="B16" s="107" t="s">
        <v>107</v>
      </c>
      <c r="C16" s="91" t="s">
        <v>12</v>
      </c>
      <c r="D16" s="278"/>
      <c r="E16" s="306"/>
    </row>
    <row r="17" spans="2:6">
      <c r="B17" s="9" t="s">
        <v>13</v>
      </c>
      <c r="C17" s="11" t="s">
        <v>65</v>
      </c>
      <c r="D17" s="279">
        <v>82065.37</v>
      </c>
      <c r="E17" s="307">
        <f>E18</f>
        <v>83851.72</v>
      </c>
    </row>
    <row r="18" spans="2:6">
      <c r="B18" s="106" t="s">
        <v>4</v>
      </c>
      <c r="C18" s="6" t="s">
        <v>11</v>
      </c>
      <c r="D18" s="278">
        <v>82065.37</v>
      </c>
      <c r="E18" s="306">
        <v>83851.72</v>
      </c>
    </row>
    <row r="19" spans="2:6" ht="15" customHeight="1">
      <c r="B19" s="106" t="s">
        <v>6</v>
      </c>
      <c r="C19" s="68" t="s">
        <v>108</v>
      </c>
      <c r="D19" s="276"/>
      <c r="E19" s="305"/>
    </row>
    <row r="20" spans="2:6" ht="13.5" thickBot="1">
      <c r="B20" s="108" t="s">
        <v>8</v>
      </c>
      <c r="C20" s="69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41204074.690000005</v>
      </c>
      <c r="E21" s="148">
        <f>E11-E17</f>
        <v>40247423.240000002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69"/>
      <c r="D23" s="369"/>
      <c r="E23" s="369"/>
    </row>
    <row r="24" spans="2:6" ht="16.5" customHeight="1" thickBot="1">
      <c r="B24" s="360" t="s">
        <v>105</v>
      </c>
      <c r="C24" s="370"/>
      <c r="D24" s="370"/>
      <c r="E24" s="370"/>
    </row>
    <row r="25" spans="2:6" ht="13.5" thickBot="1">
      <c r="B25" s="86"/>
      <c r="C25" s="5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46788938.36999999</v>
      </c>
      <c r="E26" s="231">
        <f>D21</f>
        <v>41204074.690000005</v>
      </c>
    </row>
    <row r="27" spans="2:6">
      <c r="B27" s="9" t="s">
        <v>17</v>
      </c>
      <c r="C27" s="10" t="s">
        <v>111</v>
      </c>
      <c r="D27" s="202">
        <v>-779617.1400000006</v>
      </c>
      <c r="E27" s="224">
        <f>E28-E32</f>
        <v>-839950.50000000279</v>
      </c>
      <c r="F27" s="71"/>
    </row>
    <row r="28" spans="2:6">
      <c r="B28" s="9" t="s">
        <v>18</v>
      </c>
      <c r="C28" s="10" t="s">
        <v>19</v>
      </c>
      <c r="D28" s="202">
        <v>7881761.7699999996</v>
      </c>
      <c r="E28" s="225">
        <v>6609786.4300000006</v>
      </c>
      <c r="F28" s="71"/>
    </row>
    <row r="29" spans="2:6">
      <c r="B29" s="104" t="s">
        <v>4</v>
      </c>
      <c r="C29" s="6" t="s">
        <v>20</v>
      </c>
      <c r="D29" s="203">
        <v>7409455.7199999997</v>
      </c>
      <c r="E29" s="226">
        <v>6468138.7000000002</v>
      </c>
      <c r="F29" s="71"/>
    </row>
    <row r="30" spans="2:6">
      <c r="B30" s="104" t="s">
        <v>6</v>
      </c>
      <c r="C30" s="6" t="s">
        <v>21</v>
      </c>
      <c r="D30" s="203"/>
      <c r="E30" s="226"/>
      <c r="F30" s="71"/>
    </row>
    <row r="31" spans="2:6">
      <c r="B31" s="104" t="s">
        <v>8</v>
      </c>
      <c r="C31" s="6" t="s">
        <v>22</v>
      </c>
      <c r="D31" s="203">
        <v>472306.05</v>
      </c>
      <c r="E31" s="226">
        <v>141647.72999999998</v>
      </c>
      <c r="F31" s="71"/>
    </row>
    <row r="32" spans="2:6">
      <c r="B32" s="92" t="s">
        <v>23</v>
      </c>
      <c r="C32" s="11" t="s">
        <v>24</v>
      </c>
      <c r="D32" s="202">
        <v>8661378.9100000001</v>
      </c>
      <c r="E32" s="225">
        <f>SUM(E33:E39)</f>
        <v>7449736.9300000034</v>
      </c>
      <c r="F32" s="71"/>
    </row>
    <row r="33" spans="2:6">
      <c r="B33" s="104" t="s">
        <v>4</v>
      </c>
      <c r="C33" s="6" t="s">
        <v>25</v>
      </c>
      <c r="D33" s="203">
        <v>6326841.6499999994</v>
      </c>
      <c r="E33" s="226">
        <f>5608605.81-307760.8</f>
        <v>5300845.01</v>
      </c>
      <c r="F33" s="71"/>
    </row>
    <row r="34" spans="2:6">
      <c r="B34" s="104" t="s">
        <v>6</v>
      </c>
      <c r="C34" s="6" t="s">
        <v>26</v>
      </c>
      <c r="D34" s="203"/>
      <c r="E34" s="226"/>
      <c r="F34" s="71"/>
    </row>
    <row r="35" spans="2:6">
      <c r="B35" s="104" t="s">
        <v>8</v>
      </c>
      <c r="C35" s="6" t="s">
        <v>27</v>
      </c>
      <c r="D35" s="203">
        <v>1473522.86</v>
      </c>
      <c r="E35" s="226">
        <v>1404308.9200000002</v>
      </c>
      <c r="F35" s="71"/>
    </row>
    <row r="36" spans="2:6">
      <c r="B36" s="104" t="s">
        <v>9</v>
      </c>
      <c r="C36" s="6" t="s">
        <v>28</v>
      </c>
      <c r="D36" s="203"/>
      <c r="E36" s="226"/>
      <c r="F36" s="71"/>
    </row>
    <row r="37" spans="2:6" ht="25.5">
      <c r="B37" s="104" t="s">
        <v>29</v>
      </c>
      <c r="C37" s="6" t="s">
        <v>30</v>
      </c>
      <c r="D37" s="203"/>
      <c r="E37" s="226"/>
      <c r="F37" s="71"/>
    </row>
    <row r="38" spans="2:6">
      <c r="B38" s="104" t="s">
        <v>31</v>
      </c>
      <c r="C38" s="6" t="s">
        <v>32</v>
      </c>
      <c r="D38" s="203"/>
      <c r="E38" s="226"/>
      <c r="F38" s="71"/>
    </row>
    <row r="39" spans="2:6">
      <c r="B39" s="105" t="s">
        <v>33</v>
      </c>
      <c r="C39" s="12" t="s">
        <v>34</v>
      </c>
      <c r="D39" s="204">
        <v>861014.4</v>
      </c>
      <c r="E39" s="227">
        <v>744583.00000000419</v>
      </c>
      <c r="F39" s="71"/>
    </row>
    <row r="40" spans="2:6" ht="13.5" thickBot="1">
      <c r="B40" s="97" t="s">
        <v>35</v>
      </c>
      <c r="C40" s="98" t="s">
        <v>36</v>
      </c>
      <c r="D40" s="205">
        <v>-4805246.54</v>
      </c>
      <c r="E40" s="232">
        <v>-116700.95</v>
      </c>
    </row>
    <row r="41" spans="2:6" ht="13.5" thickBot="1">
      <c r="B41" s="99" t="s">
        <v>37</v>
      </c>
      <c r="C41" s="100" t="s">
        <v>38</v>
      </c>
      <c r="D41" s="206">
        <v>41204074.68999999</v>
      </c>
      <c r="E41" s="148">
        <f>E26+E27+E40</f>
        <v>40247423.240000002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63"/>
      <c r="D43" s="363"/>
      <c r="E43" s="363"/>
    </row>
    <row r="44" spans="2:6" ht="15.75" customHeight="1" thickBot="1">
      <c r="B44" s="360" t="s">
        <v>121</v>
      </c>
      <c r="C44" s="364"/>
      <c r="D44" s="364"/>
      <c r="E44" s="364"/>
    </row>
    <row r="45" spans="2:6" ht="13.5" thickBot="1">
      <c r="B45" s="86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7">
        <v>4346746.3946000002</v>
      </c>
      <c r="E47" s="73">
        <v>4267730.58715</v>
      </c>
    </row>
    <row r="48" spans="2:6">
      <c r="B48" s="123" t="s">
        <v>6</v>
      </c>
      <c r="C48" s="22" t="s">
        <v>41</v>
      </c>
      <c r="D48" s="207">
        <v>4267730.58715</v>
      </c>
      <c r="E48" s="272">
        <v>4185254.5138000003</v>
      </c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02" t="s">
        <v>4</v>
      </c>
      <c r="C50" s="15" t="s">
        <v>40</v>
      </c>
      <c r="D50" s="207">
        <v>10.7641288729998</v>
      </c>
      <c r="E50" s="73">
        <v>9.6547975202813507</v>
      </c>
    </row>
    <row r="51" spans="2:5">
      <c r="B51" s="102" t="s">
        <v>6</v>
      </c>
      <c r="C51" s="15" t="s">
        <v>114</v>
      </c>
      <c r="D51" s="207">
        <v>9.2438000000000002</v>
      </c>
      <c r="E51" s="75">
        <v>9.1891999999999996</v>
      </c>
    </row>
    <row r="52" spans="2:5" ht="12.75" customHeight="1">
      <c r="B52" s="102" t="s">
        <v>8</v>
      </c>
      <c r="C52" s="15" t="s">
        <v>115</v>
      </c>
      <c r="D52" s="207">
        <v>11.3451</v>
      </c>
      <c r="E52" s="75">
        <v>10.498799999999999</v>
      </c>
    </row>
    <row r="53" spans="2:5" ht="13.5" thickBot="1">
      <c r="B53" s="103" t="s">
        <v>9</v>
      </c>
      <c r="C53" s="17" t="s">
        <v>41</v>
      </c>
      <c r="D53" s="209">
        <v>9.6547975202813507</v>
      </c>
      <c r="E53" s="233">
        <v>9.6165000000000003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8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SUM(D59:D70)</f>
        <v>40169274.68</v>
      </c>
      <c r="E58" s="31">
        <f>D58/E21</f>
        <v>0.99805829656388201</v>
      </c>
    </row>
    <row r="59" spans="2:5" ht="25.5">
      <c r="B59" s="21" t="s">
        <v>4</v>
      </c>
      <c r="C59" s="22" t="s">
        <v>44</v>
      </c>
      <c r="D59" s="80">
        <v>0</v>
      </c>
      <c r="E59" s="81">
        <v>0</v>
      </c>
    </row>
    <row r="60" spans="2:5" ht="24" customHeight="1">
      <c r="B60" s="14" t="s">
        <v>6</v>
      </c>
      <c r="C60" s="15" t="s">
        <v>45</v>
      </c>
      <c r="D60" s="78">
        <v>0</v>
      </c>
      <c r="E60" s="79">
        <v>0</v>
      </c>
    </row>
    <row r="61" spans="2:5">
      <c r="B61" s="14" t="s">
        <v>8</v>
      </c>
      <c r="C61" s="15" t="s">
        <v>46</v>
      </c>
      <c r="D61" s="78">
        <v>0</v>
      </c>
      <c r="E61" s="79">
        <v>0</v>
      </c>
    </row>
    <row r="62" spans="2:5">
      <c r="B62" s="14" t="s">
        <v>9</v>
      </c>
      <c r="C62" s="15" t="s">
        <v>47</v>
      </c>
      <c r="D62" s="78">
        <v>0</v>
      </c>
      <c r="E62" s="79">
        <v>0</v>
      </c>
    </row>
    <row r="63" spans="2:5">
      <c r="B63" s="14" t="s">
        <v>29</v>
      </c>
      <c r="C63" s="15" t="s">
        <v>48</v>
      </c>
      <c r="D63" s="78">
        <v>0</v>
      </c>
      <c r="E63" s="79">
        <v>0</v>
      </c>
    </row>
    <row r="64" spans="2:5">
      <c r="B64" s="21" t="s">
        <v>31</v>
      </c>
      <c r="C64" s="22" t="s">
        <v>49</v>
      </c>
      <c r="D64" s="269">
        <f>40334061.77-307166.78</f>
        <v>40026894.990000002</v>
      </c>
      <c r="E64" s="81">
        <f>D64/E21</f>
        <v>0.99452068648755565</v>
      </c>
    </row>
    <row r="65" spans="2:5">
      <c r="B65" s="21" t="s">
        <v>33</v>
      </c>
      <c r="C65" s="22" t="s">
        <v>118</v>
      </c>
      <c r="D65" s="80">
        <v>0</v>
      </c>
      <c r="E65" s="81">
        <v>0</v>
      </c>
    </row>
    <row r="66" spans="2:5">
      <c r="B66" s="21" t="s">
        <v>50</v>
      </c>
      <c r="C66" s="22" t="s">
        <v>51</v>
      </c>
      <c r="D66" s="80">
        <v>0</v>
      </c>
      <c r="E66" s="81">
        <v>0</v>
      </c>
    </row>
    <row r="67" spans="2:5">
      <c r="B67" s="14" t="s">
        <v>52</v>
      </c>
      <c r="C67" s="15" t="s">
        <v>53</v>
      </c>
      <c r="D67" s="78">
        <v>0</v>
      </c>
      <c r="E67" s="79">
        <v>0</v>
      </c>
    </row>
    <row r="68" spans="2:5">
      <c r="B68" s="14" t="s">
        <v>54</v>
      </c>
      <c r="C68" s="15" t="s">
        <v>55</v>
      </c>
      <c r="D68" s="78">
        <v>0</v>
      </c>
      <c r="E68" s="79">
        <v>0</v>
      </c>
    </row>
    <row r="69" spans="2:5">
      <c r="B69" s="14" t="s">
        <v>56</v>
      </c>
      <c r="C69" s="15" t="s">
        <v>57</v>
      </c>
      <c r="D69" s="286">
        <v>142379.69</v>
      </c>
      <c r="E69" s="79">
        <f>D69/E21</f>
        <v>3.5376100763264665E-3</v>
      </c>
    </row>
    <row r="70" spans="2:5">
      <c r="B70" s="112" t="s">
        <v>58</v>
      </c>
      <c r="C70" s="113" t="s">
        <v>59</v>
      </c>
      <c r="D70" s="114">
        <v>0</v>
      </c>
      <c r="E70" s="115">
        <v>0</v>
      </c>
    </row>
    <row r="71" spans="2:5">
      <c r="B71" s="120" t="s">
        <v>23</v>
      </c>
      <c r="C71" s="121" t="s">
        <v>61</v>
      </c>
      <c r="D71" s="122">
        <f>E13</f>
        <v>0</v>
      </c>
      <c r="E71" s="66">
        <v>0</v>
      </c>
    </row>
    <row r="72" spans="2:5">
      <c r="B72" s="116" t="s">
        <v>60</v>
      </c>
      <c r="C72" s="117" t="s">
        <v>63</v>
      </c>
      <c r="D72" s="118">
        <f>E14</f>
        <v>162000.28</v>
      </c>
      <c r="E72" s="119">
        <f>D72/E21</f>
        <v>4.0251093600197395E-3</v>
      </c>
    </row>
    <row r="73" spans="2:5">
      <c r="B73" s="23" t="s">
        <v>62</v>
      </c>
      <c r="C73" s="24" t="s">
        <v>65</v>
      </c>
      <c r="D73" s="25">
        <f>E17</f>
        <v>83851.72</v>
      </c>
      <c r="E73" s="26">
        <f>D73/E21</f>
        <v>2.0834059239018252E-3</v>
      </c>
    </row>
    <row r="74" spans="2:5">
      <c r="B74" s="120" t="s">
        <v>64</v>
      </c>
      <c r="C74" s="121" t="s">
        <v>66</v>
      </c>
      <c r="D74" s="122">
        <f>D58+D71+D72-D73</f>
        <v>40247423.240000002</v>
      </c>
      <c r="E74" s="66">
        <f>E58+E72-E73</f>
        <v>0.99999999999999989</v>
      </c>
    </row>
    <row r="75" spans="2:5">
      <c r="B75" s="14" t="s">
        <v>4</v>
      </c>
      <c r="C75" s="15" t="s">
        <v>67</v>
      </c>
      <c r="D75" s="78">
        <f>D74</f>
        <v>40247423.240000002</v>
      </c>
      <c r="E75" s="79">
        <f>E74</f>
        <v>0.99999999999999989</v>
      </c>
    </row>
    <row r="76" spans="2:5">
      <c r="B76" s="14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6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61" right="0.75" top="0.51" bottom="0.36" header="0.5" footer="0.5"/>
  <pageSetup paperSize="9" scale="70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2"/>
  <dimension ref="A1:F81"/>
  <sheetViews>
    <sheetView zoomScale="80" zoomScaleNormal="80" workbookViewId="0">
      <selection activeCell="G4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134"/>
      <c r="C4" s="134"/>
      <c r="D4" s="134"/>
      <c r="E4" s="134"/>
    </row>
    <row r="5" spans="2:5" ht="21" customHeight="1">
      <c r="B5" s="358" t="s">
        <v>1</v>
      </c>
      <c r="C5" s="358"/>
      <c r="D5" s="358"/>
      <c r="E5" s="358"/>
    </row>
    <row r="6" spans="2:5" ht="14.25">
      <c r="B6" s="359" t="s">
        <v>175</v>
      </c>
      <c r="C6" s="359"/>
      <c r="D6" s="359"/>
      <c r="E6" s="359"/>
    </row>
    <row r="7" spans="2:5" ht="14.25">
      <c r="B7" s="133"/>
      <c r="C7" s="133"/>
      <c r="D7" s="133"/>
      <c r="E7" s="133"/>
    </row>
    <row r="8" spans="2:5" ht="13.5">
      <c r="B8" s="361" t="s">
        <v>18</v>
      </c>
      <c r="C8" s="363"/>
      <c r="D8" s="363"/>
      <c r="E8" s="363"/>
    </row>
    <row r="9" spans="2:5" ht="16.5" thickBot="1">
      <c r="B9" s="360" t="s">
        <v>103</v>
      </c>
      <c r="C9" s="360"/>
      <c r="D9" s="360"/>
      <c r="E9" s="360"/>
    </row>
    <row r="10" spans="2:5" ht="13.5" thickBot="1">
      <c r="B10" s="135"/>
      <c r="C10" s="76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28" t="s">
        <v>109</v>
      </c>
      <c r="D11" s="243">
        <v>1162478.51</v>
      </c>
      <c r="E11" s="244">
        <f>SUM(E12:E14)</f>
        <v>1054816.6299999999</v>
      </c>
    </row>
    <row r="12" spans="2:5">
      <c r="B12" s="174" t="s">
        <v>4</v>
      </c>
      <c r="C12" s="175" t="s">
        <v>5</v>
      </c>
      <c r="D12" s="283">
        <v>1162478.51</v>
      </c>
      <c r="E12" s="304">
        <v>1054816.6299999999</v>
      </c>
    </row>
    <row r="13" spans="2:5">
      <c r="B13" s="174" t="s">
        <v>6</v>
      </c>
      <c r="C13" s="176" t="s">
        <v>7</v>
      </c>
      <c r="D13" s="276"/>
      <c r="E13" s="305"/>
    </row>
    <row r="14" spans="2:5">
      <c r="B14" s="174" t="s">
        <v>8</v>
      </c>
      <c r="C14" s="176" t="s">
        <v>10</v>
      </c>
      <c r="D14" s="276"/>
      <c r="E14" s="305"/>
    </row>
    <row r="15" spans="2:5">
      <c r="B15" s="174" t="s">
        <v>106</v>
      </c>
      <c r="C15" s="176" t="s">
        <v>11</v>
      </c>
      <c r="D15" s="276"/>
      <c r="E15" s="305"/>
    </row>
    <row r="16" spans="2:5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1162478.51</v>
      </c>
      <c r="E21" s="148">
        <f>E11-E17</f>
        <v>1054816.6299999999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1722218.72</v>
      </c>
      <c r="E26" s="231">
        <f>D21</f>
        <v>1162478.51</v>
      </c>
    </row>
    <row r="27" spans="2:6">
      <c r="B27" s="9" t="s">
        <v>17</v>
      </c>
      <c r="C27" s="10" t="s">
        <v>111</v>
      </c>
      <c r="D27" s="202">
        <v>-559546.29</v>
      </c>
      <c r="E27" s="224">
        <v>-316926.65999999997</v>
      </c>
      <c r="F27" s="71"/>
    </row>
    <row r="28" spans="2:6">
      <c r="B28" s="9" t="s">
        <v>18</v>
      </c>
      <c r="C28" s="10" t="s">
        <v>19</v>
      </c>
      <c r="D28" s="202">
        <v>105864.73</v>
      </c>
      <c r="E28" s="225">
        <v>21320.880000000001</v>
      </c>
      <c r="F28" s="71"/>
    </row>
    <row r="29" spans="2:6">
      <c r="B29" s="182" t="s">
        <v>4</v>
      </c>
      <c r="C29" s="175" t="s">
        <v>20</v>
      </c>
      <c r="D29" s="203">
        <v>449.98</v>
      </c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>
        <v>105414.75</v>
      </c>
      <c r="E31" s="226">
        <v>21320.880000000001</v>
      </c>
      <c r="F31" s="71"/>
    </row>
    <row r="32" spans="2:6">
      <c r="B32" s="92" t="s">
        <v>23</v>
      </c>
      <c r="C32" s="11" t="s">
        <v>24</v>
      </c>
      <c r="D32" s="202">
        <v>665411.02</v>
      </c>
      <c r="E32" s="225">
        <v>338247.54000000004</v>
      </c>
      <c r="F32" s="71"/>
    </row>
    <row r="33" spans="2:6">
      <c r="B33" s="182" t="s">
        <v>4</v>
      </c>
      <c r="C33" s="175" t="s">
        <v>25</v>
      </c>
      <c r="D33" s="203">
        <v>600249.91</v>
      </c>
      <c r="E33" s="226">
        <v>316804.57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1022.83</v>
      </c>
      <c r="E35" s="226">
        <v>867.34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29078.29</v>
      </c>
      <c r="E37" s="226">
        <v>20575.63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>
        <v>35059.99</v>
      </c>
      <c r="E39" s="227"/>
      <c r="F39" s="71"/>
    </row>
    <row r="40" spans="2:6" ht="13.5" thickBot="1">
      <c r="B40" s="97" t="s">
        <v>35</v>
      </c>
      <c r="C40" s="98" t="s">
        <v>36</v>
      </c>
      <c r="D40" s="205">
        <v>-193.92</v>
      </c>
      <c r="E40" s="232">
        <v>209264.78</v>
      </c>
    </row>
    <row r="41" spans="2:6" ht="13.5" thickBot="1">
      <c r="B41" s="99" t="s">
        <v>37</v>
      </c>
      <c r="C41" s="100" t="s">
        <v>38</v>
      </c>
      <c r="D41" s="206">
        <v>1162478.51</v>
      </c>
      <c r="E41" s="148">
        <f>E26+E27+E40</f>
        <v>1054816.6300000001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3028.3431</v>
      </c>
      <c r="E47" s="149">
        <v>2091.1648</v>
      </c>
    </row>
    <row r="48" spans="2:6">
      <c r="B48" s="187" t="s">
        <v>6</v>
      </c>
      <c r="C48" s="188" t="s">
        <v>41</v>
      </c>
      <c r="D48" s="207">
        <v>2091.1648</v>
      </c>
      <c r="E48" s="293">
        <v>1574.6116999999999</v>
      </c>
    </row>
    <row r="49" spans="2:5">
      <c r="B49" s="120" t="s">
        <v>23</v>
      </c>
      <c r="C49" s="124" t="s">
        <v>113</v>
      </c>
      <c r="D49" s="208"/>
      <c r="E49" s="235"/>
    </row>
    <row r="50" spans="2:5">
      <c r="B50" s="185" t="s">
        <v>4</v>
      </c>
      <c r="C50" s="186" t="s">
        <v>40</v>
      </c>
      <c r="D50" s="207">
        <v>568.70000000000005</v>
      </c>
      <c r="E50" s="235">
        <v>555.9</v>
      </c>
    </row>
    <row r="51" spans="2:5">
      <c r="B51" s="185" t="s">
        <v>6</v>
      </c>
      <c r="C51" s="186" t="s">
        <v>114</v>
      </c>
      <c r="D51" s="207">
        <v>545.37</v>
      </c>
      <c r="E51" s="235">
        <v>549.43000000000006</v>
      </c>
    </row>
    <row r="52" spans="2:5">
      <c r="B52" s="185" t="s">
        <v>8</v>
      </c>
      <c r="C52" s="186" t="s">
        <v>115</v>
      </c>
      <c r="D52" s="207">
        <v>658.48</v>
      </c>
      <c r="E52" s="270">
        <v>672.89</v>
      </c>
    </row>
    <row r="53" spans="2:5" ht="13.5" customHeight="1" thickBot="1">
      <c r="B53" s="189" t="s">
        <v>9</v>
      </c>
      <c r="C53" s="190" t="s">
        <v>41</v>
      </c>
      <c r="D53" s="209">
        <v>555.9</v>
      </c>
      <c r="E53" s="298">
        <v>669.89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6.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1054816.6299999999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1054816.6299999999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1054816.6299999999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1054816.6299999999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9" right="0.75" top="0.62" bottom="0.61" header="0.5" footer="0.5"/>
  <pageSetup paperSize="9" scale="70"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3">
    <pageSetUpPr fitToPage="1"/>
  </sheetPr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34"/>
      <c r="C4" s="134"/>
      <c r="D4" s="134"/>
      <c r="E4" s="134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176</v>
      </c>
      <c r="C6" s="359"/>
      <c r="D6" s="359"/>
      <c r="E6" s="359"/>
    </row>
    <row r="7" spans="2:7" ht="14.25">
      <c r="B7" s="133"/>
      <c r="C7" s="133"/>
      <c r="D7" s="133"/>
      <c r="E7" s="133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35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34332.910000000003</v>
      </c>
      <c r="E11" s="244">
        <f>SUM(E12:E14)</f>
        <v>97480.51</v>
      </c>
    </row>
    <row r="12" spans="2:7">
      <c r="B12" s="174" t="s">
        <v>4</v>
      </c>
      <c r="C12" s="175" t="s">
        <v>5</v>
      </c>
      <c r="D12" s="283">
        <v>34332.910000000003</v>
      </c>
      <c r="E12" s="304">
        <v>97480.51</v>
      </c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34332.910000000003</v>
      </c>
      <c r="E21" s="148">
        <f>E11-E17</f>
        <v>97480.51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67733.87</v>
      </c>
      <c r="E26" s="231">
        <f>D21</f>
        <v>34332.910000000003</v>
      </c>
    </row>
    <row r="27" spans="2:6">
      <c r="B27" s="9" t="s">
        <v>17</v>
      </c>
      <c r="C27" s="10" t="s">
        <v>111</v>
      </c>
      <c r="D27" s="202">
        <v>-31921.949999999997</v>
      </c>
      <c r="E27" s="224">
        <f>E28-E32</f>
        <v>49191.729999999996</v>
      </c>
      <c r="F27" s="71"/>
    </row>
    <row r="28" spans="2:6">
      <c r="B28" s="9" t="s">
        <v>18</v>
      </c>
      <c r="C28" s="10" t="s">
        <v>19</v>
      </c>
      <c r="D28" s="202">
        <v>12372</v>
      </c>
      <c r="E28" s="225">
        <v>155149.15</v>
      </c>
      <c r="F28" s="71"/>
    </row>
    <row r="29" spans="2:6">
      <c r="B29" s="182" t="s">
        <v>4</v>
      </c>
      <c r="C29" s="175" t="s">
        <v>20</v>
      </c>
      <c r="D29" s="203">
        <v>1843.95</v>
      </c>
      <c r="E29" s="226">
        <v>8570.18</v>
      </c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>
        <v>10528.05</v>
      </c>
      <c r="E31" s="226">
        <v>146578.97</v>
      </c>
      <c r="F31" s="71"/>
    </row>
    <row r="32" spans="2:6">
      <c r="B32" s="92" t="s">
        <v>23</v>
      </c>
      <c r="C32" s="11" t="s">
        <v>24</v>
      </c>
      <c r="D32" s="202">
        <v>44293.95</v>
      </c>
      <c r="E32" s="225">
        <f>SUM(E33:E39)</f>
        <v>105957.42</v>
      </c>
      <c r="F32" s="71"/>
    </row>
    <row r="33" spans="2:6">
      <c r="B33" s="182" t="s">
        <v>4</v>
      </c>
      <c r="C33" s="175" t="s">
        <v>25</v>
      </c>
      <c r="D33" s="203">
        <v>6274.82</v>
      </c>
      <c r="E33" s="226">
        <f>4660.23-4122.28</f>
        <v>537.94999999999982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297.42</v>
      </c>
      <c r="E35" s="226">
        <v>536.23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477.9</v>
      </c>
      <c r="E37" s="226">
        <v>722.47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>
        <v>37243.81</v>
      </c>
      <c r="E39" s="227">
        <v>104160.77</v>
      </c>
      <c r="F39" s="71"/>
    </row>
    <row r="40" spans="2:6" ht="13.5" thickBot="1">
      <c r="B40" s="97" t="s">
        <v>35</v>
      </c>
      <c r="C40" s="98" t="s">
        <v>36</v>
      </c>
      <c r="D40" s="205">
        <v>-1479.01</v>
      </c>
      <c r="E40" s="232">
        <v>13955.87</v>
      </c>
    </row>
    <row r="41" spans="2:6" ht="13.5" thickBot="1">
      <c r="B41" s="99" t="s">
        <v>37</v>
      </c>
      <c r="C41" s="100" t="s">
        <v>38</v>
      </c>
      <c r="D41" s="206">
        <v>34332.909999999996</v>
      </c>
      <c r="E41" s="148">
        <f>E26+E27+E40</f>
        <v>97480.51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420.18529999999998</v>
      </c>
      <c r="E47" s="149">
        <v>212.95688999999999</v>
      </c>
    </row>
    <row r="48" spans="2:6">
      <c r="B48" s="187" t="s">
        <v>6</v>
      </c>
      <c r="C48" s="188" t="s">
        <v>41</v>
      </c>
      <c r="D48" s="207">
        <v>212.95688999999999</v>
      </c>
      <c r="E48" s="293">
        <v>469.01710000000003</v>
      </c>
    </row>
    <row r="49" spans="2:5">
      <c r="B49" s="120" t="s">
        <v>23</v>
      </c>
      <c r="C49" s="124" t="s">
        <v>113</v>
      </c>
      <c r="D49" s="208"/>
      <c r="E49" s="235"/>
    </row>
    <row r="50" spans="2:5">
      <c r="B50" s="185" t="s">
        <v>4</v>
      </c>
      <c r="C50" s="186" t="s">
        <v>40</v>
      </c>
      <c r="D50" s="207">
        <v>161.19999999999999</v>
      </c>
      <c r="E50" s="235">
        <v>161.22</v>
      </c>
    </row>
    <row r="51" spans="2:5">
      <c r="B51" s="185" t="s">
        <v>6</v>
      </c>
      <c r="C51" s="186" t="s">
        <v>114</v>
      </c>
      <c r="D51" s="207">
        <v>133.29</v>
      </c>
      <c r="E51" s="236">
        <v>161.22</v>
      </c>
    </row>
    <row r="52" spans="2:5">
      <c r="B52" s="185" t="s">
        <v>8</v>
      </c>
      <c r="C52" s="186" t="s">
        <v>115</v>
      </c>
      <c r="D52" s="207">
        <v>168.31</v>
      </c>
      <c r="E52" s="236">
        <v>214.11</v>
      </c>
    </row>
    <row r="53" spans="2:5" ht="14.25" customHeight="1" thickBot="1">
      <c r="B53" s="189" t="s">
        <v>9</v>
      </c>
      <c r="C53" s="190" t="s">
        <v>41</v>
      </c>
      <c r="D53" s="209">
        <v>161.22</v>
      </c>
      <c r="E53" s="298">
        <v>207.84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5.7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97480.51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97480.51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97480.51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97480.51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4"/>
  <dimension ref="A1:F81"/>
  <sheetViews>
    <sheetView zoomScale="80" zoomScaleNormal="80" workbookViewId="0">
      <selection activeCell="J20" sqref="J2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134"/>
      <c r="C4" s="134"/>
      <c r="D4" s="134"/>
      <c r="E4" s="134"/>
    </row>
    <row r="5" spans="2:5" ht="21" customHeight="1">
      <c r="B5" s="358" t="s">
        <v>1</v>
      </c>
      <c r="C5" s="358"/>
      <c r="D5" s="358"/>
      <c r="E5" s="358"/>
    </row>
    <row r="6" spans="2:5" ht="14.25">
      <c r="B6" s="359" t="s">
        <v>177</v>
      </c>
      <c r="C6" s="359"/>
      <c r="D6" s="359"/>
      <c r="E6" s="359"/>
    </row>
    <row r="7" spans="2:5" ht="14.25">
      <c r="B7" s="133"/>
      <c r="C7" s="133"/>
      <c r="D7" s="133"/>
      <c r="E7" s="133"/>
    </row>
    <row r="8" spans="2:5" ht="13.5">
      <c r="B8" s="361" t="s">
        <v>18</v>
      </c>
      <c r="C8" s="363"/>
      <c r="D8" s="363"/>
      <c r="E8" s="363"/>
    </row>
    <row r="9" spans="2:5" ht="16.5" thickBot="1">
      <c r="B9" s="360" t="s">
        <v>103</v>
      </c>
      <c r="C9" s="360"/>
      <c r="D9" s="360"/>
      <c r="E9" s="360"/>
    </row>
    <row r="10" spans="2:5" ht="13.5" thickBot="1">
      <c r="B10" s="135"/>
      <c r="C10" s="76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28" t="s">
        <v>109</v>
      </c>
      <c r="D11" s="243">
        <v>50394.42</v>
      </c>
      <c r="E11" s="244">
        <f>SUM(E12:E14)</f>
        <v>64221.560000000005</v>
      </c>
    </row>
    <row r="12" spans="2:5">
      <c r="B12" s="174" t="s">
        <v>4</v>
      </c>
      <c r="C12" s="175" t="s">
        <v>5</v>
      </c>
      <c r="D12" s="283">
        <v>50394.42</v>
      </c>
      <c r="E12" s="304">
        <f>64237.58-16.02</f>
        <v>64221.560000000005</v>
      </c>
    </row>
    <row r="13" spans="2:5">
      <c r="B13" s="174" t="s">
        <v>6</v>
      </c>
      <c r="C13" s="176" t="s">
        <v>7</v>
      </c>
      <c r="D13" s="276"/>
      <c r="E13" s="305"/>
    </row>
    <row r="14" spans="2:5">
      <c r="B14" s="174" t="s">
        <v>8</v>
      </c>
      <c r="C14" s="176" t="s">
        <v>10</v>
      </c>
      <c r="D14" s="276"/>
      <c r="E14" s="305"/>
    </row>
    <row r="15" spans="2:5">
      <c r="B15" s="174" t="s">
        <v>106</v>
      </c>
      <c r="C15" s="176" t="s">
        <v>11</v>
      </c>
      <c r="D15" s="276"/>
      <c r="E15" s="305"/>
    </row>
    <row r="16" spans="2:5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50394.42</v>
      </c>
      <c r="E21" s="148">
        <f>E11-E17</f>
        <v>64221.560000000005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75110.64</v>
      </c>
      <c r="E26" s="231">
        <f>D21</f>
        <v>50394.42</v>
      </c>
    </row>
    <row r="27" spans="2:6">
      <c r="B27" s="9" t="s">
        <v>17</v>
      </c>
      <c r="C27" s="10" t="s">
        <v>111</v>
      </c>
      <c r="D27" s="202">
        <v>-19868.099999999999</v>
      </c>
      <c r="E27" s="224">
        <f>E28-E32</f>
        <v>2892.0300000000007</v>
      </c>
      <c r="F27" s="71"/>
    </row>
    <row r="28" spans="2:6">
      <c r="B28" s="9" t="s">
        <v>18</v>
      </c>
      <c r="C28" s="10" t="s">
        <v>19</v>
      </c>
      <c r="D28" s="202">
        <v>8229.5400000000009</v>
      </c>
      <c r="E28" s="225">
        <v>14511.63</v>
      </c>
      <c r="F28" s="71"/>
    </row>
    <row r="29" spans="2:6">
      <c r="B29" s="182" t="s">
        <v>4</v>
      </c>
      <c r="C29" s="175" t="s">
        <v>20</v>
      </c>
      <c r="D29" s="203">
        <v>4586.59</v>
      </c>
      <c r="E29" s="226">
        <v>7146.26</v>
      </c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>
        <v>3642.95</v>
      </c>
      <c r="E31" s="226">
        <v>7365.37</v>
      </c>
      <c r="F31" s="71"/>
    </row>
    <row r="32" spans="2:6">
      <c r="B32" s="92" t="s">
        <v>23</v>
      </c>
      <c r="C32" s="11" t="s">
        <v>24</v>
      </c>
      <c r="D32" s="202">
        <v>28097.64</v>
      </c>
      <c r="E32" s="225">
        <f>SUM(E33:E39)</f>
        <v>11619.599999999999</v>
      </c>
      <c r="F32" s="71"/>
    </row>
    <row r="33" spans="2:6">
      <c r="B33" s="182" t="s">
        <v>4</v>
      </c>
      <c r="C33" s="175" t="s">
        <v>25</v>
      </c>
      <c r="D33" s="203">
        <v>8809.15</v>
      </c>
      <c r="E33" s="226">
        <f>9098.73+2.9</f>
        <v>9101.6299999999992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522.46</v>
      </c>
      <c r="E35" s="226">
        <v>416.65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576.63</v>
      </c>
      <c r="E37" s="226">
        <v>568.82000000000005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>
        <v>18189.400000000001</v>
      </c>
      <c r="E39" s="227">
        <v>1532.5</v>
      </c>
      <c r="F39" s="71"/>
    </row>
    <row r="40" spans="2:6" ht="13.5" thickBot="1">
      <c r="B40" s="97" t="s">
        <v>35</v>
      </c>
      <c r="C40" s="98" t="s">
        <v>36</v>
      </c>
      <c r="D40" s="205">
        <v>-4848.12</v>
      </c>
      <c r="E40" s="232">
        <v>10935.11</v>
      </c>
    </row>
    <row r="41" spans="2:6" ht="13.5" thickBot="1">
      <c r="B41" s="99" t="s">
        <v>37</v>
      </c>
      <c r="C41" s="100" t="s">
        <v>38</v>
      </c>
      <c r="D41" s="206">
        <v>50394.42</v>
      </c>
      <c r="E41" s="148">
        <f>E26+E27+E40</f>
        <v>64221.56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63">
        <v>905.60209999999995</v>
      </c>
      <c r="E47" s="149">
        <v>659.18140000000005</v>
      </c>
    </row>
    <row r="48" spans="2:6">
      <c r="B48" s="187" t="s">
        <v>6</v>
      </c>
      <c r="C48" s="188" t="s">
        <v>41</v>
      </c>
      <c r="D48" s="263">
        <v>659.18140000000005</v>
      </c>
      <c r="E48" s="299">
        <v>687.81790000000001</v>
      </c>
    </row>
    <row r="49" spans="2:5">
      <c r="B49" s="120" t="s">
        <v>23</v>
      </c>
      <c r="C49" s="124" t="s">
        <v>113</v>
      </c>
      <c r="D49" s="263"/>
      <c r="E49" s="239"/>
    </row>
    <row r="50" spans="2:5">
      <c r="B50" s="185" t="s">
        <v>4</v>
      </c>
      <c r="C50" s="186" t="s">
        <v>40</v>
      </c>
      <c r="D50" s="263">
        <v>82.94</v>
      </c>
      <c r="E50" s="239">
        <v>76.45</v>
      </c>
    </row>
    <row r="51" spans="2:5">
      <c r="B51" s="185" t="s">
        <v>6</v>
      </c>
      <c r="C51" s="186" t="s">
        <v>114</v>
      </c>
      <c r="D51" s="263">
        <v>75.31</v>
      </c>
      <c r="E51" s="267">
        <v>76.45</v>
      </c>
    </row>
    <row r="52" spans="2:5">
      <c r="B52" s="185" t="s">
        <v>8</v>
      </c>
      <c r="C52" s="186" t="s">
        <v>115</v>
      </c>
      <c r="D52" s="263">
        <v>88.68</v>
      </c>
      <c r="E52" s="267">
        <v>93.73</v>
      </c>
    </row>
    <row r="53" spans="2:5" ht="13.5" customHeight="1" thickBot="1">
      <c r="B53" s="189" t="s">
        <v>9</v>
      </c>
      <c r="C53" s="190" t="s">
        <v>41</v>
      </c>
      <c r="D53" s="209">
        <v>76.45</v>
      </c>
      <c r="E53" s="300">
        <v>93.37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7.2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64221.560000000005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64221.560000000005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64221.560000000005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64221.560000000005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5000000000000004" right="0.75" top="0.53" bottom="0.51" header="0.5" footer="0.5"/>
  <pageSetup paperSize="9" scale="70" orientation="portrait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5"/>
  <dimension ref="A1:F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134"/>
      <c r="C4" s="134"/>
      <c r="D4" s="134"/>
      <c r="E4" s="134"/>
    </row>
    <row r="5" spans="2:5" ht="21" customHeight="1">
      <c r="B5" s="358" t="s">
        <v>1</v>
      </c>
      <c r="C5" s="358"/>
      <c r="D5" s="358"/>
      <c r="E5" s="358"/>
    </row>
    <row r="6" spans="2:5" ht="14.25">
      <c r="B6" s="359" t="s">
        <v>178</v>
      </c>
      <c r="C6" s="359"/>
      <c r="D6" s="359"/>
      <c r="E6" s="359"/>
    </row>
    <row r="7" spans="2:5" ht="14.25">
      <c r="B7" s="133"/>
      <c r="C7" s="133"/>
      <c r="D7" s="133"/>
      <c r="E7" s="133"/>
    </row>
    <row r="8" spans="2:5" ht="13.5">
      <c r="B8" s="361" t="s">
        <v>18</v>
      </c>
      <c r="C8" s="363"/>
      <c r="D8" s="363"/>
      <c r="E8" s="363"/>
    </row>
    <row r="9" spans="2:5" ht="16.5" thickBot="1">
      <c r="B9" s="360" t="s">
        <v>103</v>
      </c>
      <c r="C9" s="360"/>
      <c r="D9" s="360"/>
      <c r="E9" s="360"/>
    </row>
    <row r="10" spans="2:5" ht="13.5" thickBot="1">
      <c r="B10" s="135"/>
      <c r="C10" s="76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28" t="s">
        <v>109</v>
      </c>
      <c r="D11" s="243">
        <v>125358.98</v>
      </c>
      <c r="E11" s="244">
        <f>SUM(E12:E14)</f>
        <v>130247.85</v>
      </c>
    </row>
    <row r="12" spans="2:5">
      <c r="B12" s="106" t="s">
        <v>4</v>
      </c>
      <c r="C12" s="6" t="s">
        <v>5</v>
      </c>
      <c r="D12" s="283">
        <v>125358.98</v>
      </c>
      <c r="E12" s="304">
        <f>131584.82-1336.97</f>
        <v>130247.85</v>
      </c>
    </row>
    <row r="13" spans="2:5">
      <c r="B13" s="106" t="s">
        <v>6</v>
      </c>
      <c r="C13" s="68" t="s">
        <v>7</v>
      </c>
      <c r="D13" s="276"/>
      <c r="E13" s="305"/>
    </row>
    <row r="14" spans="2:5">
      <c r="B14" s="106" t="s">
        <v>8</v>
      </c>
      <c r="C14" s="68" t="s">
        <v>10</v>
      </c>
      <c r="D14" s="276"/>
      <c r="E14" s="305"/>
    </row>
    <row r="15" spans="2:5">
      <c r="B15" s="106" t="s">
        <v>106</v>
      </c>
      <c r="C15" s="68" t="s">
        <v>11</v>
      </c>
      <c r="D15" s="276"/>
      <c r="E15" s="305"/>
    </row>
    <row r="16" spans="2:5">
      <c r="B16" s="107" t="s">
        <v>107</v>
      </c>
      <c r="C16" s="91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06" t="s">
        <v>4</v>
      </c>
      <c r="C18" s="6" t="s">
        <v>11</v>
      </c>
      <c r="D18" s="278"/>
      <c r="E18" s="306"/>
    </row>
    <row r="19" spans="2:6" ht="15" customHeight="1">
      <c r="B19" s="106" t="s">
        <v>6</v>
      </c>
      <c r="C19" s="68" t="s">
        <v>108</v>
      </c>
      <c r="D19" s="276"/>
      <c r="E19" s="305"/>
    </row>
    <row r="20" spans="2:6" ht="13.5" thickBot="1">
      <c r="B20" s="108" t="s">
        <v>8</v>
      </c>
      <c r="C20" s="69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125358.98</v>
      </c>
      <c r="E21" s="148">
        <f>E11-E17</f>
        <v>130247.85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69"/>
      <c r="D23" s="369"/>
      <c r="E23" s="369"/>
    </row>
    <row r="24" spans="2:6" ht="15.75" customHeight="1" thickBot="1">
      <c r="B24" s="360" t="s">
        <v>105</v>
      </c>
      <c r="C24" s="370"/>
      <c r="D24" s="370"/>
      <c r="E24" s="370"/>
    </row>
    <row r="25" spans="2:6" ht="13.5" thickBot="1">
      <c r="B25" s="135"/>
      <c r="C25" s="5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180195.43000000002</v>
      </c>
      <c r="E26" s="231">
        <f>D21</f>
        <v>125358.98</v>
      </c>
    </row>
    <row r="27" spans="2:6">
      <c r="B27" s="9" t="s">
        <v>17</v>
      </c>
      <c r="C27" s="10" t="s">
        <v>111</v>
      </c>
      <c r="D27" s="202">
        <v>-43346.729999999996</v>
      </c>
      <c r="E27" s="224">
        <f>E28-E32</f>
        <v>-3655.3300000000163</v>
      </c>
      <c r="F27" s="71"/>
    </row>
    <row r="28" spans="2:6">
      <c r="B28" s="9" t="s">
        <v>18</v>
      </c>
      <c r="C28" s="10" t="s">
        <v>19</v>
      </c>
      <c r="D28" s="202">
        <v>26337.270000000004</v>
      </c>
      <c r="E28" s="225">
        <v>221456.37</v>
      </c>
      <c r="F28" s="71"/>
    </row>
    <row r="29" spans="2:6">
      <c r="B29" s="104" t="s">
        <v>4</v>
      </c>
      <c r="C29" s="6" t="s">
        <v>20</v>
      </c>
      <c r="D29" s="203">
        <v>9464.0300000000007</v>
      </c>
      <c r="E29" s="226">
        <v>9678.58</v>
      </c>
      <c r="F29" s="71"/>
    </row>
    <row r="30" spans="2:6">
      <c r="B30" s="104" t="s">
        <v>6</v>
      </c>
      <c r="C30" s="6" t="s">
        <v>21</v>
      </c>
      <c r="D30" s="203"/>
      <c r="E30" s="226"/>
      <c r="F30" s="71"/>
    </row>
    <row r="31" spans="2:6">
      <c r="B31" s="104" t="s">
        <v>8</v>
      </c>
      <c r="C31" s="6" t="s">
        <v>22</v>
      </c>
      <c r="D31" s="203">
        <v>16873.240000000002</v>
      </c>
      <c r="E31" s="226">
        <v>211777.79</v>
      </c>
      <c r="F31" s="71"/>
    </row>
    <row r="32" spans="2:6">
      <c r="B32" s="92" t="s">
        <v>23</v>
      </c>
      <c r="C32" s="11" t="s">
        <v>24</v>
      </c>
      <c r="D32" s="202">
        <v>69684</v>
      </c>
      <c r="E32" s="225">
        <f>SUM(E33:E39)</f>
        <v>225111.7</v>
      </c>
      <c r="F32" s="71"/>
    </row>
    <row r="33" spans="2:6">
      <c r="B33" s="104" t="s">
        <v>4</v>
      </c>
      <c r="C33" s="6" t="s">
        <v>25</v>
      </c>
      <c r="D33" s="203">
        <v>45410.34</v>
      </c>
      <c r="E33" s="226">
        <f>61820.76+861.91</f>
        <v>62682.670000000006</v>
      </c>
      <c r="F33" s="71"/>
    </row>
    <row r="34" spans="2:6">
      <c r="B34" s="104" t="s">
        <v>6</v>
      </c>
      <c r="C34" s="6" t="s">
        <v>26</v>
      </c>
      <c r="D34" s="203"/>
      <c r="E34" s="226"/>
      <c r="F34" s="71"/>
    </row>
    <row r="35" spans="2:6">
      <c r="B35" s="104" t="s">
        <v>8</v>
      </c>
      <c r="C35" s="6" t="s">
        <v>27</v>
      </c>
      <c r="D35" s="203">
        <v>1339.08</v>
      </c>
      <c r="E35" s="226">
        <v>1080.22</v>
      </c>
      <c r="F35" s="71"/>
    </row>
    <row r="36" spans="2:6">
      <c r="B36" s="104" t="s">
        <v>9</v>
      </c>
      <c r="C36" s="6" t="s">
        <v>28</v>
      </c>
      <c r="D36" s="203"/>
      <c r="E36" s="226"/>
      <c r="F36" s="71"/>
    </row>
    <row r="37" spans="2:6" ht="25.5">
      <c r="B37" s="104" t="s">
        <v>29</v>
      </c>
      <c r="C37" s="6" t="s">
        <v>30</v>
      </c>
      <c r="D37" s="203">
        <v>1719.48</v>
      </c>
      <c r="E37" s="226">
        <v>6960.69</v>
      </c>
      <c r="F37" s="71"/>
    </row>
    <row r="38" spans="2:6">
      <c r="B38" s="104" t="s">
        <v>31</v>
      </c>
      <c r="C38" s="6" t="s">
        <v>32</v>
      </c>
      <c r="D38" s="203"/>
      <c r="E38" s="226"/>
      <c r="F38" s="71"/>
    </row>
    <row r="39" spans="2:6">
      <c r="B39" s="105" t="s">
        <v>33</v>
      </c>
      <c r="C39" s="12" t="s">
        <v>34</v>
      </c>
      <c r="D39" s="204">
        <v>21215.1</v>
      </c>
      <c r="E39" s="227">
        <v>154388.12</v>
      </c>
      <c r="F39" s="71"/>
    </row>
    <row r="40" spans="2:6" ht="13.5" thickBot="1">
      <c r="B40" s="97" t="s">
        <v>35</v>
      </c>
      <c r="C40" s="98" t="s">
        <v>36</v>
      </c>
      <c r="D40" s="205">
        <v>-11489.72</v>
      </c>
      <c r="E40" s="232">
        <v>8544.2000000000007</v>
      </c>
    </row>
    <row r="41" spans="2:6" ht="13.5" thickBot="1">
      <c r="B41" s="99" t="s">
        <v>37</v>
      </c>
      <c r="C41" s="100" t="s">
        <v>38</v>
      </c>
      <c r="D41" s="206">
        <v>125358.98000000001</v>
      </c>
      <c r="E41" s="148">
        <f>E26+E27+E40</f>
        <v>130247.84999999998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63"/>
      <c r="D43" s="363"/>
      <c r="E43" s="363"/>
    </row>
    <row r="44" spans="2:6" ht="18" customHeight="1" thickBot="1">
      <c r="B44" s="360" t="s">
        <v>121</v>
      </c>
      <c r="C44" s="364"/>
      <c r="D44" s="364"/>
      <c r="E44" s="364"/>
    </row>
    <row r="45" spans="2:6" ht="13.5" thickBot="1">
      <c r="B45" s="135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7">
        <v>1243.92814</v>
      </c>
      <c r="E47" s="149">
        <v>925.09024999999997</v>
      </c>
    </row>
    <row r="48" spans="2:6">
      <c r="B48" s="123" t="s">
        <v>6</v>
      </c>
      <c r="C48" s="22" t="s">
        <v>41</v>
      </c>
      <c r="D48" s="207">
        <v>925.09024999999997</v>
      </c>
      <c r="E48" s="293">
        <v>843.30110000000002</v>
      </c>
    </row>
    <row r="49" spans="2:5">
      <c r="B49" s="120" t="s">
        <v>23</v>
      </c>
      <c r="C49" s="124" t="s">
        <v>113</v>
      </c>
      <c r="D49" s="208"/>
      <c r="E49" s="235"/>
    </row>
    <row r="50" spans="2:5">
      <c r="B50" s="102" t="s">
        <v>4</v>
      </c>
      <c r="C50" s="15" t="s">
        <v>40</v>
      </c>
      <c r="D50" s="207">
        <v>144.86000000000001</v>
      </c>
      <c r="E50" s="235">
        <v>135.51</v>
      </c>
    </row>
    <row r="51" spans="2:5">
      <c r="B51" s="102" t="s">
        <v>6</v>
      </c>
      <c r="C51" s="15" t="s">
        <v>114</v>
      </c>
      <c r="D51" s="207">
        <v>126.84</v>
      </c>
      <c r="E51" s="235">
        <v>132.84</v>
      </c>
    </row>
    <row r="52" spans="2:5">
      <c r="B52" s="102" t="s">
        <v>8</v>
      </c>
      <c r="C52" s="15" t="s">
        <v>115</v>
      </c>
      <c r="D52" s="207">
        <v>150.49</v>
      </c>
      <c r="E52" s="236">
        <v>159.75</v>
      </c>
    </row>
    <row r="53" spans="2:5" ht="12.75" customHeight="1" thickBot="1">
      <c r="B53" s="103" t="s">
        <v>9</v>
      </c>
      <c r="C53" s="17" t="s">
        <v>41</v>
      </c>
      <c r="D53" s="209">
        <v>135.51</v>
      </c>
      <c r="E53" s="298">
        <v>154.44999999999999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7.2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130247.85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3.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E12</f>
        <v>130247.85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0" t="s">
        <v>64</v>
      </c>
      <c r="C74" s="121" t="s">
        <v>66</v>
      </c>
      <c r="D74" s="122">
        <f>D58-D73</f>
        <v>130247.85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130247.85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3" right="0.75" top="0.53" bottom="0.67" header="0.5" footer="0.5"/>
  <pageSetup paperSize="9" scale="70"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6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34"/>
      <c r="C4" s="134"/>
      <c r="D4" s="134"/>
      <c r="E4" s="134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248</v>
      </c>
      <c r="C6" s="359"/>
      <c r="D6" s="359"/>
      <c r="E6" s="359"/>
    </row>
    <row r="7" spans="2:7" ht="14.25">
      <c r="B7" s="133"/>
      <c r="C7" s="133"/>
      <c r="D7" s="133"/>
      <c r="E7" s="133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35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86926.41</v>
      </c>
      <c r="E11" s="244">
        <f>SUM(E12:E14)</f>
        <v>77206.5</v>
      </c>
    </row>
    <row r="12" spans="2:7">
      <c r="B12" s="106" t="s">
        <v>4</v>
      </c>
      <c r="C12" s="6" t="s">
        <v>5</v>
      </c>
      <c r="D12" s="283">
        <v>86926.41</v>
      </c>
      <c r="E12" s="304">
        <v>77206.5</v>
      </c>
    </row>
    <row r="13" spans="2:7">
      <c r="B13" s="106" t="s">
        <v>6</v>
      </c>
      <c r="C13" s="68" t="s">
        <v>7</v>
      </c>
      <c r="D13" s="276"/>
      <c r="E13" s="305"/>
    </row>
    <row r="14" spans="2:7">
      <c r="B14" s="106" t="s">
        <v>8</v>
      </c>
      <c r="C14" s="68" t="s">
        <v>10</v>
      </c>
      <c r="D14" s="276"/>
      <c r="E14" s="305"/>
    </row>
    <row r="15" spans="2:7">
      <c r="B15" s="106" t="s">
        <v>106</v>
      </c>
      <c r="C15" s="68" t="s">
        <v>11</v>
      </c>
      <c r="D15" s="276"/>
      <c r="E15" s="305"/>
    </row>
    <row r="16" spans="2:7">
      <c r="B16" s="107" t="s">
        <v>107</v>
      </c>
      <c r="C16" s="91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06" t="s">
        <v>4</v>
      </c>
      <c r="C18" s="6" t="s">
        <v>11</v>
      </c>
      <c r="D18" s="278"/>
      <c r="E18" s="306"/>
    </row>
    <row r="19" spans="2:6" ht="15" customHeight="1">
      <c r="B19" s="106" t="s">
        <v>6</v>
      </c>
      <c r="C19" s="68" t="s">
        <v>108</v>
      </c>
      <c r="D19" s="276"/>
      <c r="E19" s="305"/>
    </row>
    <row r="20" spans="2:6" ht="13.5" thickBot="1">
      <c r="B20" s="108" t="s">
        <v>8</v>
      </c>
      <c r="C20" s="69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86926.41</v>
      </c>
      <c r="E21" s="148">
        <f>E11-E17</f>
        <v>77206.5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69"/>
      <c r="D23" s="369"/>
      <c r="E23" s="369"/>
    </row>
    <row r="24" spans="2:6" ht="15.75" customHeight="1" thickBot="1">
      <c r="B24" s="360" t="s">
        <v>105</v>
      </c>
      <c r="C24" s="370"/>
      <c r="D24" s="370"/>
      <c r="E24" s="370"/>
    </row>
    <row r="25" spans="2:6" ht="13.5" thickBot="1">
      <c r="B25" s="135"/>
      <c r="C25" s="5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261740.12</v>
      </c>
      <c r="E26" s="231">
        <f>D21</f>
        <v>86926.41</v>
      </c>
    </row>
    <row r="27" spans="2:6">
      <c r="B27" s="9" t="s">
        <v>17</v>
      </c>
      <c r="C27" s="10" t="s">
        <v>111</v>
      </c>
      <c r="D27" s="202">
        <v>-178099.02999999997</v>
      </c>
      <c r="E27" s="224">
        <v>-10260.91</v>
      </c>
      <c r="F27" s="71"/>
    </row>
    <row r="28" spans="2:6">
      <c r="B28" s="9" t="s">
        <v>18</v>
      </c>
      <c r="C28" s="10" t="s">
        <v>19</v>
      </c>
      <c r="D28" s="202">
        <v>7547.17</v>
      </c>
      <c r="E28" s="225">
        <v>8729.91</v>
      </c>
      <c r="F28" s="71"/>
    </row>
    <row r="29" spans="2:6">
      <c r="B29" s="104" t="s">
        <v>4</v>
      </c>
      <c r="C29" s="6" t="s">
        <v>20</v>
      </c>
      <c r="D29" s="203">
        <v>5830.33</v>
      </c>
      <c r="E29" s="226">
        <v>5968.9</v>
      </c>
      <c r="F29" s="71"/>
    </row>
    <row r="30" spans="2:6">
      <c r="B30" s="104" t="s">
        <v>6</v>
      </c>
      <c r="C30" s="6" t="s">
        <v>21</v>
      </c>
      <c r="D30" s="203"/>
      <c r="E30" s="226"/>
      <c r="F30" s="71"/>
    </row>
    <row r="31" spans="2:6">
      <c r="B31" s="104" t="s">
        <v>8</v>
      </c>
      <c r="C31" s="6" t="s">
        <v>22</v>
      </c>
      <c r="D31" s="203">
        <v>1716.84</v>
      </c>
      <c r="E31" s="226">
        <v>2761.01</v>
      </c>
      <c r="F31" s="71"/>
    </row>
    <row r="32" spans="2:6">
      <c r="B32" s="92" t="s">
        <v>23</v>
      </c>
      <c r="C32" s="11" t="s">
        <v>24</v>
      </c>
      <c r="D32" s="202">
        <v>185646.19999999998</v>
      </c>
      <c r="E32" s="225">
        <v>18990.82</v>
      </c>
      <c r="F32" s="71"/>
    </row>
    <row r="33" spans="2:6">
      <c r="B33" s="104" t="s">
        <v>4</v>
      </c>
      <c r="C33" s="6" t="s">
        <v>25</v>
      </c>
      <c r="D33" s="203">
        <v>180907.96</v>
      </c>
      <c r="E33" s="226">
        <v>14177.52</v>
      </c>
      <c r="F33" s="71"/>
    </row>
    <row r="34" spans="2:6">
      <c r="B34" s="104" t="s">
        <v>6</v>
      </c>
      <c r="C34" s="6" t="s">
        <v>26</v>
      </c>
      <c r="D34" s="203"/>
      <c r="E34" s="226"/>
      <c r="F34" s="71"/>
    </row>
    <row r="35" spans="2:6">
      <c r="B35" s="104" t="s">
        <v>8</v>
      </c>
      <c r="C35" s="6" t="s">
        <v>27</v>
      </c>
      <c r="D35" s="203">
        <v>511.04</v>
      </c>
      <c r="E35" s="226">
        <v>498.78</v>
      </c>
      <c r="F35" s="71"/>
    </row>
    <row r="36" spans="2:6">
      <c r="B36" s="104" t="s">
        <v>9</v>
      </c>
      <c r="C36" s="6" t="s">
        <v>28</v>
      </c>
      <c r="D36" s="203"/>
      <c r="E36" s="226"/>
      <c r="F36" s="71"/>
    </row>
    <row r="37" spans="2:6" ht="25.5">
      <c r="B37" s="104" t="s">
        <v>29</v>
      </c>
      <c r="C37" s="6" t="s">
        <v>30</v>
      </c>
      <c r="D37" s="203">
        <v>1660.96</v>
      </c>
      <c r="E37" s="226">
        <v>1572.9</v>
      </c>
      <c r="F37" s="71"/>
    </row>
    <row r="38" spans="2:6">
      <c r="B38" s="104" t="s">
        <v>31</v>
      </c>
      <c r="C38" s="6" t="s">
        <v>32</v>
      </c>
      <c r="D38" s="203"/>
      <c r="E38" s="226"/>
      <c r="F38" s="71"/>
    </row>
    <row r="39" spans="2:6">
      <c r="B39" s="105" t="s">
        <v>33</v>
      </c>
      <c r="C39" s="12" t="s">
        <v>34</v>
      </c>
      <c r="D39" s="204">
        <v>2566.2399999999998</v>
      </c>
      <c r="E39" s="227">
        <v>2741.62</v>
      </c>
      <c r="F39" s="71"/>
    </row>
    <row r="40" spans="2:6" ht="13.5" thickBot="1">
      <c r="B40" s="97" t="s">
        <v>35</v>
      </c>
      <c r="C40" s="98" t="s">
        <v>36</v>
      </c>
      <c r="D40" s="205">
        <v>3285.32</v>
      </c>
      <c r="E40" s="232">
        <v>541</v>
      </c>
    </row>
    <row r="41" spans="2:6" ht="13.5" thickBot="1">
      <c r="B41" s="99" t="s">
        <v>37</v>
      </c>
      <c r="C41" s="100" t="s">
        <v>38</v>
      </c>
      <c r="D41" s="206">
        <v>86926.410000000033</v>
      </c>
      <c r="E41" s="148">
        <f>E26+E27+E40</f>
        <v>77206.5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63"/>
      <c r="D43" s="363"/>
      <c r="E43" s="363"/>
    </row>
    <row r="44" spans="2:6" ht="18" customHeight="1" thickBot="1">
      <c r="B44" s="360" t="s">
        <v>121</v>
      </c>
      <c r="C44" s="364"/>
      <c r="D44" s="364"/>
      <c r="E44" s="364"/>
    </row>
    <row r="45" spans="2:6" ht="13.5" thickBot="1">
      <c r="B45" s="135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7">
        <v>1957.3744999999999</v>
      </c>
      <c r="E47" s="149">
        <v>639.68219999999997</v>
      </c>
    </row>
    <row r="48" spans="2:6">
      <c r="B48" s="123" t="s">
        <v>6</v>
      </c>
      <c r="C48" s="22" t="s">
        <v>41</v>
      </c>
      <c r="D48" s="207">
        <v>639.68219999999997</v>
      </c>
      <c r="E48" s="293">
        <v>563.71569999999997</v>
      </c>
    </row>
    <row r="49" spans="2:5">
      <c r="B49" s="120" t="s">
        <v>23</v>
      </c>
      <c r="C49" s="124" t="s">
        <v>113</v>
      </c>
      <c r="D49" s="208"/>
      <c r="E49" s="235"/>
    </row>
    <row r="50" spans="2:5">
      <c r="B50" s="102" t="s">
        <v>4</v>
      </c>
      <c r="C50" s="15" t="s">
        <v>40</v>
      </c>
      <c r="D50" s="207">
        <v>133.72</v>
      </c>
      <c r="E50" s="235">
        <v>135.88999999999999</v>
      </c>
    </row>
    <row r="51" spans="2:5">
      <c r="B51" s="102" t="s">
        <v>6</v>
      </c>
      <c r="C51" s="15" t="s">
        <v>114</v>
      </c>
      <c r="D51" s="207">
        <v>133.71</v>
      </c>
      <c r="E51" s="236">
        <v>135.12</v>
      </c>
    </row>
    <row r="52" spans="2:5">
      <c r="B52" s="102" t="s">
        <v>8</v>
      </c>
      <c r="C52" s="15" t="s">
        <v>115</v>
      </c>
      <c r="D52" s="207">
        <v>135.88999999999999</v>
      </c>
      <c r="E52" s="236">
        <v>137.13</v>
      </c>
    </row>
    <row r="53" spans="2:5" ht="13.5" customHeight="1" thickBot="1">
      <c r="B53" s="103" t="s">
        <v>9</v>
      </c>
      <c r="C53" s="17" t="s">
        <v>41</v>
      </c>
      <c r="D53" s="209">
        <v>135.88999999999999</v>
      </c>
      <c r="E53" s="298">
        <v>136.96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8.7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77206.5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3.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77206.5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77206.5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77206.5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6000000000000005" right="0.75" top="0.53" bottom="0.49" header="0.5" footer="0.5"/>
  <pageSetup paperSize="9" scale="70" orientation="portrait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7"/>
  <dimension ref="A1:F81"/>
  <sheetViews>
    <sheetView zoomScale="80" zoomScaleNormal="80" workbookViewId="0">
      <selection activeCell="G1" sqref="G1:M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134"/>
      <c r="C4" s="134"/>
      <c r="D4" s="134"/>
      <c r="E4" s="134"/>
    </row>
    <row r="5" spans="2:5" ht="21" customHeight="1">
      <c r="B5" s="358" t="s">
        <v>1</v>
      </c>
      <c r="C5" s="358"/>
      <c r="D5" s="358"/>
      <c r="E5" s="358"/>
    </row>
    <row r="6" spans="2:5" ht="14.25">
      <c r="B6" s="359" t="s">
        <v>179</v>
      </c>
      <c r="C6" s="359"/>
      <c r="D6" s="359"/>
      <c r="E6" s="359"/>
    </row>
    <row r="7" spans="2:5" ht="14.25">
      <c r="B7" s="133"/>
      <c r="C7" s="133"/>
      <c r="D7" s="133"/>
      <c r="E7" s="133"/>
    </row>
    <row r="8" spans="2:5" ht="13.5">
      <c r="B8" s="361" t="s">
        <v>18</v>
      </c>
      <c r="C8" s="363"/>
      <c r="D8" s="363"/>
      <c r="E8" s="363"/>
    </row>
    <row r="9" spans="2:5" ht="16.5" thickBot="1">
      <c r="B9" s="360" t="s">
        <v>103</v>
      </c>
      <c r="C9" s="360"/>
      <c r="D9" s="360"/>
      <c r="E9" s="360"/>
    </row>
    <row r="10" spans="2:5" ht="13.5" thickBot="1">
      <c r="B10" s="135"/>
      <c r="C10" s="76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28" t="s">
        <v>109</v>
      </c>
      <c r="D11" s="243">
        <v>153386.26999999999</v>
      </c>
      <c r="E11" s="244">
        <f>SUM(E12:E14)</f>
        <v>177841.15</v>
      </c>
    </row>
    <row r="12" spans="2:5">
      <c r="B12" s="106" t="s">
        <v>4</v>
      </c>
      <c r="C12" s="6" t="s">
        <v>5</v>
      </c>
      <c r="D12" s="283">
        <v>153386.26999999999</v>
      </c>
      <c r="E12" s="304">
        <f>178438.27-597.12</f>
        <v>177841.15</v>
      </c>
    </row>
    <row r="13" spans="2:5">
      <c r="B13" s="106" t="s">
        <v>6</v>
      </c>
      <c r="C13" s="68" t="s">
        <v>7</v>
      </c>
      <c r="D13" s="276"/>
      <c r="E13" s="305"/>
    </row>
    <row r="14" spans="2:5">
      <c r="B14" s="106" t="s">
        <v>8</v>
      </c>
      <c r="C14" s="68" t="s">
        <v>10</v>
      </c>
      <c r="D14" s="276"/>
      <c r="E14" s="305"/>
    </row>
    <row r="15" spans="2:5">
      <c r="B15" s="106" t="s">
        <v>106</v>
      </c>
      <c r="C15" s="68" t="s">
        <v>11</v>
      </c>
      <c r="D15" s="276"/>
      <c r="E15" s="305"/>
    </row>
    <row r="16" spans="2:5">
      <c r="B16" s="107" t="s">
        <v>107</v>
      </c>
      <c r="C16" s="91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06" t="s">
        <v>4</v>
      </c>
      <c r="C18" s="6" t="s">
        <v>11</v>
      </c>
      <c r="D18" s="278"/>
      <c r="E18" s="306"/>
    </row>
    <row r="19" spans="2:6" ht="15" customHeight="1">
      <c r="B19" s="106" t="s">
        <v>6</v>
      </c>
      <c r="C19" s="68" t="s">
        <v>108</v>
      </c>
      <c r="D19" s="276"/>
      <c r="E19" s="305"/>
    </row>
    <row r="20" spans="2:6" ht="13.5" thickBot="1">
      <c r="B20" s="108" t="s">
        <v>8</v>
      </c>
      <c r="C20" s="69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153386.26999999999</v>
      </c>
      <c r="E21" s="148">
        <f>E11-E17</f>
        <v>177841.15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69"/>
      <c r="D23" s="369"/>
      <c r="E23" s="369"/>
    </row>
    <row r="24" spans="2:6" ht="15.75" customHeight="1" thickBot="1">
      <c r="B24" s="360" t="s">
        <v>105</v>
      </c>
      <c r="C24" s="370"/>
      <c r="D24" s="370"/>
      <c r="E24" s="370"/>
    </row>
    <row r="25" spans="2:6" ht="13.5" thickBot="1">
      <c r="B25" s="135"/>
      <c r="C25" s="5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284556.46999999997</v>
      </c>
      <c r="E26" s="231">
        <f>D21</f>
        <v>153386.26999999999</v>
      </c>
    </row>
    <row r="27" spans="2:6">
      <c r="B27" s="9" t="s">
        <v>17</v>
      </c>
      <c r="C27" s="10" t="s">
        <v>111</v>
      </c>
      <c r="D27" s="202">
        <v>-120714.26999999999</v>
      </c>
      <c r="E27" s="224">
        <f>E28-E32</f>
        <v>7212.8699999999953</v>
      </c>
      <c r="F27" s="71"/>
    </row>
    <row r="28" spans="2:6">
      <c r="B28" s="9" t="s">
        <v>18</v>
      </c>
      <c r="C28" s="10" t="s">
        <v>19</v>
      </c>
      <c r="D28" s="202">
        <v>46203.51</v>
      </c>
      <c r="E28" s="225">
        <v>48891.02</v>
      </c>
      <c r="F28" s="71"/>
    </row>
    <row r="29" spans="2:6">
      <c r="B29" s="104" t="s">
        <v>4</v>
      </c>
      <c r="C29" s="6" t="s">
        <v>20</v>
      </c>
      <c r="D29" s="203">
        <v>19544.27</v>
      </c>
      <c r="E29" s="226">
        <v>18577.919999999998</v>
      </c>
      <c r="F29" s="71"/>
    </row>
    <row r="30" spans="2:6">
      <c r="B30" s="104" t="s">
        <v>6</v>
      </c>
      <c r="C30" s="6" t="s">
        <v>21</v>
      </c>
      <c r="D30" s="203"/>
      <c r="E30" s="226"/>
      <c r="F30" s="71"/>
    </row>
    <row r="31" spans="2:6">
      <c r="B31" s="104" t="s">
        <v>8</v>
      </c>
      <c r="C31" s="6" t="s">
        <v>22</v>
      </c>
      <c r="D31" s="203">
        <v>26659.24</v>
      </c>
      <c r="E31" s="226">
        <v>30313.1</v>
      </c>
      <c r="F31" s="71"/>
    </row>
    <row r="32" spans="2:6">
      <c r="B32" s="92" t="s">
        <v>23</v>
      </c>
      <c r="C32" s="11" t="s">
        <v>24</v>
      </c>
      <c r="D32" s="202">
        <v>166917.78</v>
      </c>
      <c r="E32" s="225">
        <f>SUM(E33:E39)</f>
        <v>41678.15</v>
      </c>
      <c r="F32" s="71"/>
    </row>
    <row r="33" spans="2:6">
      <c r="B33" s="104" t="s">
        <v>4</v>
      </c>
      <c r="C33" s="6" t="s">
        <v>25</v>
      </c>
      <c r="D33" s="203">
        <v>19631.759999999998</v>
      </c>
      <c r="E33" s="226">
        <f>12778.43+482.18</f>
        <v>13260.61</v>
      </c>
      <c r="F33" s="71"/>
    </row>
    <row r="34" spans="2:6">
      <c r="B34" s="104" t="s">
        <v>6</v>
      </c>
      <c r="C34" s="6" t="s">
        <v>26</v>
      </c>
      <c r="D34" s="203"/>
      <c r="E34" s="226"/>
      <c r="F34" s="71"/>
    </row>
    <row r="35" spans="2:6">
      <c r="B35" s="104" t="s">
        <v>8</v>
      </c>
      <c r="C35" s="6" t="s">
        <v>27</v>
      </c>
      <c r="D35" s="203">
        <v>2130.69</v>
      </c>
      <c r="E35" s="226">
        <v>1931.73</v>
      </c>
      <c r="F35" s="71"/>
    </row>
    <row r="36" spans="2:6">
      <c r="B36" s="104" t="s">
        <v>9</v>
      </c>
      <c r="C36" s="6" t="s">
        <v>28</v>
      </c>
      <c r="D36" s="203"/>
      <c r="E36" s="226"/>
      <c r="F36" s="71"/>
    </row>
    <row r="37" spans="2:6" ht="25.5">
      <c r="B37" s="104" t="s">
        <v>29</v>
      </c>
      <c r="C37" s="6" t="s">
        <v>30</v>
      </c>
      <c r="D37" s="203">
        <v>2003.96</v>
      </c>
      <c r="E37" s="226">
        <v>1539.04</v>
      </c>
      <c r="F37" s="71"/>
    </row>
    <row r="38" spans="2:6">
      <c r="B38" s="104" t="s">
        <v>31</v>
      </c>
      <c r="C38" s="6" t="s">
        <v>32</v>
      </c>
      <c r="D38" s="203"/>
      <c r="E38" s="226"/>
      <c r="F38" s="71"/>
    </row>
    <row r="39" spans="2:6">
      <c r="B39" s="105" t="s">
        <v>33</v>
      </c>
      <c r="C39" s="12" t="s">
        <v>34</v>
      </c>
      <c r="D39" s="204">
        <v>143151.37</v>
      </c>
      <c r="E39" s="227">
        <v>24946.77</v>
      </c>
      <c r="F39" s="71"/>
    </row>
    <row r="40" spans="2:6" ht="13.5" thickBot="1">
      <c r="B40" s="97" t="s">
        <v>35</v>
      </c>
      <c r="C40" s="98" t="s">
        <v>36</v>
      </c>
      <c r="D40" s="205">
        <v>-10455.93</v>
      </c>
      <c r="E40" s="232">
        <v>17242.009999999998</v>
      </c>
    </row>
    <row r="41" spans="2:6" ht="13.5" thickBot="1">
      <c r="B41" s="99" t="s">
        <v>37</v>
      </c>
      <c r="C41" s="100" t="s">
        <v>38</v>
      </c>
      <c r="D41" s="206">
        <v>153386.26999999999</v>
      </c>
      <c r="E41" s="148">
        <f>E26+E27+E40</f>
        <v>177841.15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63"/>
      <c r="D43" s="363"/>
      <c r="E43" s="363"/>
    </row>
    <row r="44" spans="2:6" ht="18" customHeight="1" thickBot="1">
      <c r="B44" s="360" t="s">
        <v>121</v>
      </c>
      <c r="C44" s="364"/>
      <c r="D44" s="364"/>
      <c r="E44" s="364"/>
    </row>
    <row r="45" spans="2:6" ht="13.5" thickBot="1">
      <c r="B45" s="135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7">
        <v>1207.0264</v>
      </c>
      <c r="E47" s="149">
        <v>698.76666</v>
      </c>
    </row>
    <row r="48" spans="2:6">
      <c r="B48" s="123" t="s">
        <v>6</v>
      </c>
      <c r="C48" s="22" t="s">
        <v>41</v>
      </c>
      <c r="D48" s="207">
        <v>698.76666</v>
      </c>
      <c r="E48" s="293">
        <v>726.7127999999999</v>
      </c>
    </row>
    <row r="49" spans="2:5">
      <c r="B49" s="120" t="s">
        <v>23</v>
      </c>
      <c r="C49" s="124" t="s">
        <v>113</v>
      </c>
      <c r="D49" s="208"/>
      <c r="E49" s="235"/>
    </row>
    <row r="50" spans="2:5">
      <c r="B50" s="102" t="s">
        <v>4</v>
      </c>
      <c r="C50" s="15" t="s">
        <v>40</v>
      </c>
      <c r="D50" s="207">
        <v>235.75</v>
      </c>
      <c r="E50" s="235">
        <v>219.51</v>
      </c>
    </row>
    <row r="51" spans="2:5">
      <c r="B51" s="102" t="s">
        <v>6</v>
      </c>
      <c r="C51" s="15" t="s">
        <v>114</v>
      </c>
      <c r="D51" s="207">
        <v>209.18</v>
      </c>
      <c r="E51" s="236">
        <v>216.37</v>
      </c>
    </row>
    <row r="52" spans="2:5">
      <c r="B52" s="102" t="s">
        <v>8</v>
      </c>
      <c r="C52" s="15" t="s">
        <v>115</v>
      </c>
      <c r="D52" s="207">
        <v>252.01</v>
      </c>
      <c r="E52" s="236">
        <v>247.22</v>
      </c>
    </row>
    <row r="53" spans="2:5" ht="12.75" customHeight="1" thickBot="1">
      <c r="B53" s="103" t="s">
        <v>9</v>
      </c>
      <c r="C53" s="17" t="s">
        <v>41</v>
      </c>
      <c r="D53" s="209">
        <v>219.51</v>
      </c>
      <c r="E53" s="298">
        <v>244.72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6.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177841.15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3.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177841.15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177841.15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177841.15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8"/>
  <dimension ref="A1:F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134"/>
      <c r="C4" s="134"/>
      <c r="D4" s="134"/>
      <c r="E4" s="134"/>
    </row>
    <row r="5" spans="2:5" ht="21" customHeight="1">
      <c r="B5" s="358" t="s">
        <v>1</v>
      </c>
      <c r="C5" s="358"/>
      <c r="D5" s="358"/>
      <c r="E5" s="358"/>
    </row>
    <row r="6" spans="2:5" ht="14.25">
      <c r="B6" s="359" t="s">
        <v>249</v>
      </c>
      <c r="C6" s="359"/>
      <c r="D6" s="359"/>
      <c r="E6" s="359"/>
    </row>
    <row r="7" spans="2:5" ht="14.25">
      <c r="B7" s="133"/>
      <c r="C7" s="133"/>
      <c r="D7" s="133"/>
      <c r="E7" s="133"/>
    </row>
    <row r="8" spans="2:5" ht="13.5">
      <c r="B8" s="361" t="s">
        <v>18</v>
      </c>
      <c r="C8" s="363"/>
      <c r="D8" s="363"/>
      <c r="E8" s="363"/>
    </row>
    <row r="9" spans="2:5" ht="16.5" thickBot="1">
      <c r="B9" s="360" t="s">
        <v>103</v>
      </c>
      <c r="C9" s="360"/>
      <c r="D9" s="360"/>
      <c r="E9" s="360"/>
    </row>
    <row r="10" spans="2:5" ht="13.5" thickBot="1">
      <c r="B10" s="135"/>
      <c r="C10" s="76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28" t="s">
        <v>109</v>
      </c>
      <c r="D11" s="243"/>
      <c r="E11" s="244"/>
    </row>
    <row r="12" spans="2:5">
      <c r="B12" s="106" t="s">
        <v>4</v>
      </c>
      <c r="C12" s="6" t="s">
        <v>5</v>
      </c>
      <c r="D12" s="283"/>
      <c r="E12" s="304"/>
    </row>
    <row r="13" spans="2:5">
      <c r="B13" s="106" t="s">
        <v>6</v>
      </c>
      <c r="C13" s="68" t="s">
        <v>7</v>
      </c>
      <c r="D13" s="276"/>
      <c r="E13" s="305"/>
    </row>
    <row r="14" spans="2:5">
      <c r="B14" s="106" t="s">
        <v>8</v>
      </c>
      <c r="C14" s="68" t="s">
        <v>10</v>
      </c>
      <c r="D14" s="276"/>
      <c r="E14" s="305"/>
    </row>
    <row r="15" spans="2:5">
      <c r="B15" s="106" t="s">
        <v>106</v>
      </c>
      <c r="C15" s="68" t="s">
        <v>11</v>
      </c>
      <c r="D15" s="276"/>
      <c r="E15" s="305"/>
    </row>
    <row r="16" spans="2:5">
      <c r="B16" s="107" t="s">
        <v>107</v>
      </c>
      <c r="C16" s="91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06" t="s">
        <v>4</v>
      </c>
      <c r="C18" s="6" t="s">
        <v>11</v>
      </c>
      <c r="D18" s="278"/>
      <c r="E18" s="306"/>
    </row>
    <row r="19" spans="2:6" ht="15" customHeight="1">
      <c r="B19" s="106" t="s">
        <v>6</v>
      </c>
      <c r="C19" s="68" t="s">
        <v>108</v>
      </c>
      <c r="D19" s="276"/>
      <c r="E19" s="305"/>
    </row>
    <row r="20" spans="2:6" ht="13.5" thickBot="1">
      <c r="B20" s="108" t="s">
        <v>8</v>
      </c>
      <c r="C20" s="69" t="s">
        <v>14</v>
      </c>
      <c r="D20" s="245"/>
      <c r="E20" s="246"/>
    </row>
    <row r="21" spans="2:6" ht="13.5" thickBot="1">
      <c r="B21" s="367" t="s">
        <v>110</v>
      </c>
      <c r="C21" s="368"/>
      <c r="D21" s="247"/>
      <c r="E21" s="148"/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69"/>
      <c r="D23" s="369"/>
      <c r="E23" s="369"/>
    </row>
    <row r="24" spans="2:6" ht="15.75" customHeight="1" thickBot="1">
      <c r="B24" s="360" t="s">
        <v>105</v>
      </c>
      <c r="C24" s="370"/>
      <c r="D24" s="370"/>
      <c r="E24" s="370"/>
    </row>
    <row r="25" spans="2:6" ht="13.5" thickBot="1">
      <c r="B25" s="135"/>
      <c r="C25" s="5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150953.80000000002</v>
      </c>
      <c r="E26" s="231"/>
    </row>
    <row r="27" spans="2:6">
      <c r="B27" s="9" t="s">
        <v>17</v>
      </c>
      <c r="C27" s="10" t="s">
        <v>111</v>
      </c>
      <c r="D27" s="202">
        <v>-115898.7</v>
      </c>
      <c r="E27" s="224"/>
      <c r="F27" s="71"/>
    </row>
    <row r="28" spans="2:6">
      <c r="B28" s="9" t="s">
        <v>18</v>
      </c>
      <c r="C28" s="10" t="s">
        <v>19</v>
      </c>
      <c r="D28" s="202">
        <v>9990.09</v>
      </c>
      <c r="E28" s="225"/>
      <c r="F28" s="71"/>
    </row>
    <row r="29" spans="2:6">
      <c r="B29" s="104" t="s">
        <v>4</v>
      </c>
      <c r="C29" s="6" t="s">
        <v>20</v>
      </c>
      <c r="D29" s="203"/>
      <c r="E29" s="226"/>
      <c r="F29" s="71"/>
    </row>
    <row r="30" spans="2:6">
      <c r="B30" s="104" t="s">
        <v>6</v>
      </c>
      <c r="C30" s="6" t="s">
        <v>21</v>
      </c>
      <c r="D30" s="203"/>
      <c r="E30" s="226"/>
      <c r="F30" s="71"/>
    </row>
    <row r="31" spans="2:6">
      <c r="B31" s="104" t="s">
        <v>8</v>
      </c>
      <c r="C31" s="6" t="s">
        <v>22</v>
      </c>
      <c r="D31" s="203">
        <v>9990.09</v>
      </c>
      <c r="E31" s="226"/>
      <c r="F31" s="71"/>
    </row>
    <row r="32" spans="2:6">
      <c r="B32" s="92" t="s">
        <v>23</v>
      </c>
      <c r="C32" s="11" t="s">
        <v>24</v>
      </c>
      <c r="D32" s="202">
        <v>125888.79</v>
      </c>
      <c r="E32" s="225"/>
      <c r="F32" s="71"/>
    </row>
    <row r="33" spans="2:6">
      <c r="B33" s="104" t="s">
        <v>4</v>
      </c>
      <c r="C33" s="6" t="s">
        <v>25</v>
      </c>
      <c r="D33" s="203">
        <v>26251.79</v>
      </c>
      <c r="E33" s="226"/>
      <c r="F33" s="71"/>
    </row>
    <row r="34" spans="2:6">
      <c r="B34" s="104" t="s">
        <v>6</v>
      </c>
      <c r="C34" s="6" t="s">
        <v>26</v>
      </c>
      <c r="D34" s="203"/>
      <c r="E34" s="226"/>
      <c r="F34" s="71"/>
    </row>
    <row r="35" spans="2:6">
      <c r="B35" s="104" t="s">
        <v>8</v>
      </c>
      <c r="C35" s="6" t="s">
        <v>27</v>
      </c>
      <c r="D35" s="203">
        <v>74.39</v>
      </c>
      <c r="E35" s="226"/>
      <c r="F35" s="71"/>
    </row>
    <row r="36" spans="2:6">
      <c r="B36" s="104" t="s">
        <v>9</v>
      </c>
      <c r="C36" s="6" t="s">
        <v>28</v>
      </c>
      <c r="D36" s="203"/>
      <c r="E36" s="226"/>
      <c r="F36" s="71"/>
    </row>
    <row r="37" spans="2:6" ht="25.5">
      <c r="B37" s="104" t="s">
        <v>29</v>
      </c>
      <c r="C37" s="6" t="s">
        <v>30</v>
      </c>
      <c r="D37" s="203">
        <v>1372.07</v>
      </c>
      <c r="E37" s="226"/>
      <c r="F37" s="71"/>
    </row>
    <row r="38" spans="2:6">
      <c r="B38" s="104" t="s">
        <v>31</v>
      </c>
      <c r="C38" s="6" t="s">
        <v>32</v>
      </c>
      <c r="D38" s="203"/>
      <c r="E38" s="226"/>
      <c r="F38" s="71"/>
    </row>
    <row r="39" spans="2:6">
      <c r="B39" s="105" t="s">
        <v>33</v>
      </c>
      <c r="C39" s="12" t="s">
        <v>34</v>
      </c>
      <c r="D39" s="204">
        <v>98190.54</v>
      </c>
      <c r="E39" s="227"/>
      <c r="F39" s="71"/>
    </row>
    <row r="40" spans="2:6" ht="13.5" thickBot="1">
      <c r="B40" s="97" t="s">
        <v>35</v>
      </c>
      <c r="C40" s="98" t="s">
        <v>36</v>
      </c>
      <c r="D40" s="205">
        <v>-35055.1</v>
      </c>
      <c r="E40" s="232"/>
    </row>
    <row r="41" spans="2:6" ht="13.5" thickBot="1">
      <c r="B41" s="99" t="s">
        <v>37</v>
      </c>
      <c r="C41" s="100" t="s">
        <v>38</v>
      </c>
      <c r="D41" s="206">
        <v>0</v>
      </c>
      <c r="E41" s="148"/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63"/>
      <c r="D43" s="363"/>
      <c r="E43" s="363"/>
    </row>
    <row r="44" spans="2:6" ht="18" customHeight="1" thickBot="1">
      <c r="B44" s="360" t="s">
        <v>121</v>
      </c>
      <c r="C44" s="364"/>
      <c r="D44" s="364"/>
      <c r="E44" s="364"/>
    </row>
    <row r="45" spans="2:6" ht="13.5" thickBot="1">
      <c r="B45" s="135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7">
        <v>885.6712</v>
      </c>
      <c r="E47" s="149"/>
    </row>
    <row r="48" spans="2:6">
      <c r="B48" s="123" t="s">
        <v>6</v>
      </c>
      <c r="C48" s="22" t="s">
        <v>41</v>
      </c>
      <c r="D48" s="207">
        <v>0</v>
      </c>
      <c r="E48" s="149"/>
    </row>
    <row r="49" spans="2:5">
      <c r="B49" s="120" t="s">
        <v>23</v>
      </c>
      <c r="C49" s="124" t="s">
        <v>113</v>
      </c>
      <c r="D49" s="208"/>
      <c r="E49" s="149"/>
    </row>
    <row r="50" spans="2:5">
      <c r="B50" s="102" t="s">
        <v>4</v>
      </c>
      <c r="C50" s="15" t="s">
        <v>40</v>
      </c>
      <c r="D50" s="207">
        <v>170.44</v>
      </c>
      <c r="E50" s="149"/>
    </row>
    <row r="51" spans="2:5">
      <c r="B51" s="102" t="s">
        <v>6</v>
      </c>
      <c r="C51" s="15" t="s">
        <v>114</v>
      </c>
      <c r="D51" s="207">
        <v>85.31</v>
      </c>
      <c r="E51" s="75"/>
    </row>
    <row r="52" spans="2:5">
      <c r="B52" s="102" t="s">
        <v>8</v>
      </c>
      <c r="C52" s="15" t="s">
        <v>115</v>
      </c>
      <c r="D52" s="207">
        <v>173.73</v>
      </c>
      <c r="E52" s="75"/>
    </row>
    <row r="53" spans="2:5" ht="13.5" customHeight="1" thickBot="1">
      <c r="B53" s="103" t="s">
        <v>9</v>
      </c>
      <c r="C53" s="17" t="s">
        <v>41</v>
      </c>
      <c r="D53" s="209">
        <v>0</v>
      </c>
      <c r="E53" s="233"/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6.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0</v>
      </c>
      <c r="E58" s="31">
        <v>0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3.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0</v>
      </c>
      <c r="E64" s="81">
        <v>0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0</v>
      </c>
      <c r="E74" s="66">
        <f>E58+E72-E73</f>
        <v>0</v>
      </c>
    </row>
    <row r="75" spans="2:5">
      <c r="B75" s="102" t="s">
        <v>4</v>
      </c>
      <c r="C75" s="15" t="s">
        <v>67</v>
      </c>
      <c r="D75" s="78">
        <f>D74</f>
        <v>0</v>
      </c>
      <c r="E75" s="79">
        <f>E74</f>
        <v>0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9" right="0.75" top="0.61" bottom="0.61" header="0.5" footer="0.5"/>
  <pageSetup paperSize="9" scale="70" orientation="portrait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9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47"/>
      <c r="C4" s="147"/>
      <c r="D4" s="147"/>
      <c r="E4" s="147"/>
    </row>
    <row r="5" spans="2:7" ht="14.25">
      <c r="B5" s="358" t="s">
        <v>1</v>
      </c>
      <c r="C5" s="358"/>
      <c r="D5" s="358"/>
      <c r="E5" s="358"/>
    </row>
    <row r="6" spans="2:7" ht="14.25">
      <c r="B6" s="359" t="s">
        <v>180</v>
      </c>
      <c r="C6" s="359"/>
      <c r="D6" s="359"/>
      <c r="E6" s="359"/>
    </row>
    <row r="7" spans="2:7" ht="14.25">
      <c r="B7" s="165"/>
      <c r="C7" s="165"/>
      <c r="D7" s="165"/>
      <c r="E7" s="165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66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9791.7199999999993</v>
      </c>
      <c r="E11" s="244">
        <f>SUM(E12:E14)</f>
        <v>9889.2000000000007</v>
      </c>
    </row>
    <row r="12" spans="2:7">
      <c r="B12" s="174" t="s">
        <v>4</v>
      </c>
      <c r="C12" s="175" t="s">
        <v>5</v>
      </c>
      <c r="D12" s="283">
        <v>9791.7199999999993</v>
      </c>
      <c r="E12" s="304">
        <v>9889.2000000000007</v>
      </c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9791.7199999999993</v>
      </c>
      <c r="E21" s="148">
        <f>E11-E17</f>
        <v>9889.2000000000007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24047.09</v>
      </c>
      <c r="E26" s="231">
        <f>D21</f>
        <v>9791.7199999999993</v>
      </c>
    </row>
    <row r="27" spans="2:6">
      <c r="B27" s="9" t="s">
        <v>17</v>
      </c>
      <c r="C27" s="10" t="s">
        <v>111</v>
      </c>
      <c r="D27" s="202">
        <v>-14275.06</v>
      </c>
      <c r="E27" s="224">
        <v>-234.60999999999999</v>
      </c>
      <c r="F27" s="71"/>
    </row>
    <row r="28" spans="2:6">
      <c r="B28" s="9" t="s">
        <v>18</v>
      </c>
      <c r="C28" s="10" t="s">
        <v>19</v>
      </c>
      <c r="D28" s="202">
        <v>0</v>
      </c>
      <c r="E28" s="225">
        <v>0</v>
      </c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/>
      <c r="E31" s="226"/>
      <c r="F31" s="71"/>
    </row>
    <row r="32" spans="2:6">
      <c r="B32" s="92" t="s">
        <v>23</v>
      </c>
      <c r="C32" s="11" t="s">
        <v>24</v>
      </c>
      <c r="D32" s="202">
        <v>14275.06</v>
      </c>
      <c r="E32" s="225">
        <v>234.60999999999999</v>
      </c>
      <c r="F32" s="71"/>
    </row>
    <row r="33" spans="2:6">
      <c r="B33" s="182" t="s">
        <v>4</v>
      </c>
      <c r="C33" s="175" t="s">
        <v>25</v>
      </c>
      <c r="D33" s="203">
        <v>14038.49</v>
      </c>
      <c r="E33" s="226"/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125.02</v>
      </c>
      <c r="E35" s="226">
        <v>66.599999999999994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111.55</v>
      </c>
      <c r="E37" s="226">
        <v>168.01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/>
      <c r="E39" s="227"/>
      <c r="F39" s="71"/>
    </row>
    <row r="40" spans="2:6" ht="13.5" thickBot="1">
      <c r="B40" s="97" t="s">
        <v>35</v>
      </c>
      <c r="C40" s="98" t="s">
        <v>36</v>
      </c>
      <c r="D40" s="205">
        <v>19.690000000000001</v>
      </c>
      <c r="E40" s="232">
        <v>332.09</v>
      </c>
    </row>
    <row r="41" spans="2:6" ht="13.5" thickBot="1">
      <c r="B41" s="99" t="s">
        <v>37</v>
      </c>
      <c r="C41" s="100" t="s">
        <v>38</v>
      </c>
      <c r="D41" s="206">
        <v>9791.7200000000012</v>
      </c>
      <c r="E41" s="148">
        <f>E26+E27+E40</f>
        <v>9889.1999999999989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235.5018</v>
      </c>
      <c r="E47" s="149">
        <v>95.8</v>
      </c>
    </row>
    <row r="48" spans="2:6">
      <c r="B48" s="187" t="s">
        <v>6</v>
      </c>
      <c r="C48" s="188" t="s">
        <v>41</v>
      </c>
      <c r="D48" s="207">
        <v>95.8</v>
      </c>
      <c r="E48" s="293">
        <v>93.550299999999993</v>
      </c>
    </row>
    <row r="49" spans="2:5">
      <c r="B49" s="120" t="s">
        <v>23</v>
      </c>
      <c r="C49" s="124" t="s">
        <v>113</v>
      </c>
      <c r="D49" s="208"/>
      <c r="E49" s="235"/>
    </row>
    <row r="50" spans="2:5">
      <c r="B50" s="185" t="s">
        <v>4</v>
      </c>
      <c r="C50" s="186" t="s">
        <v>40</v>
      </c>
      <c r="D50" s="207">
        <v>102.11</v>
      </c>
      <c r="E50" s="235">
        <v>102.21</v>
      </c>
    </row>
    <row r="51" spans="2:5">
      <c r="B51" s="185" t="s">
        <v>6</v>
      </c>
      <c r="C51" s="186" t="s">
        <v>114</v>
      </c>
      <c r="D51" s="207">
        <v>101.96</v>
      </c>
      <c r="E51" s="236">
        <v>102.21</v>
      </c>
    </row>
    <row r="52" spans="2:5">
      <c r="B52" s="185" t="s">
        <v>8</v>
      </c>
      <c r="C52" s="186" t="s">
        <v>115</v>
      </c>
      <c r="D52" s="207">
        <v>102.51</v>
      </c>
      <c r="E52" s="236">
        <v>105.8</v>
      </c>
    </row>
    <row r="53" spans="2:5" ht="13.5" thickBot="1">
      <c r="B53" s="189" t="s">
        <v>9</v>
      </c>
      <c r="C53" s="190" t="s">
        <v>41</v>
      </c>
      <c r="D53" s="209">
        <v>102.21</v>
      </c>
      <c r="E53" s="298">
        <v>105.71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4.25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9889.2000000000007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9889.2000000000007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9889.2000000000007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9889.2000000000007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0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47"/>
      <c r="C4" s="147"/>
      <c r="D4" s="147"/>
      <c r="E4" s="147"/>
    </row>
    <row r="5" spans="2:7" ht="14.25">
      <c r="B5" s="358" t="s">
        <v>1</v>
      </c>
      <c r="C5" s="358"/>
      <c r="D5" s="358"/>
      <c r="E5" s="358"/>
    </row>
    <row r="6" spans="2:7" ht="14.25">
      <c r="B6" s="359" t="s">
        <v>250</v>
      </c>
      <c r="C6" s="359"/>
      <c r="D6" s="359"/>
      <c r="E6" s="359"/>
    </row>
    <row r="7" spans="2:7" ht="14.25">
      <c r="B7" s="153"/>
      <c r="C7" s="153"/>
      <c r="D7" s="153"/>
      <c r="E7" s="153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54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203272.61</v>
      </c>
      <c r="E11" s="244">
        <f>SUM(E12:E14)</f>
        <v>93087.12</v>
      </c>
    </row>
    <row r="12" spans="2:7">
      <c r="B12" s="174" t="s">
        <v>4</v>
      </c>
      <c r="C12" s="175" t="s">
        <v>5</v>
      </c>
      <c r="D12" s="283">
        <v>203272.61</v>
      </c>
      <c r="E12" s="304">
        <v>93087.12</v>
      </c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203272.61</v>
      </c>
      <c r="E21" s="148">
        <f>E11-E17</f>
        <v>93087.12</v>
      </c>
      <c r="F21" s="77"/>
    </row>
    <row r="22" spans="2:6">
      <c r="B22" s="3"/>
      <c r="C22" s="7"/>
      <c r="D22" s="8"/>
      <c r="E22" s="222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329200.03999999998</v>
      </c>
      <c r="E26" s="231">
        <f>D21</f>
        <v>203272.61</v>
      </c>
    </row>
    <row r="27" spans="2:6">
      <c r="B27" s="9" t="s">
        <v>17</v>
      </c>
      <c r="C27" s="10" t="s">
        <v>111</v>
      </c>
      <c r="D27" s="202">
        <v>-131292.84999999998</v>
      </c>
      <c r="E27" s="224">
        <v>-113471.44</v>
      </c>
      <c r="F27" s="71"/>
    </row>
    <row r="28" spans="2:6">
      <c r="B28" s="9" t="s">
        <v>18</v>
      </c>
      <c r="C28" s="10" t="s">
        <v>19</v>
      </c>
      <c r="D28" s="202">
        <v>52315.19</v>
      </c>
      <c r="E28" s="225">
        <v>0</v>
      </c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>
        <v>52315.19</v>
      </c>
      <c r="E31" s="226"/>
      <c r="F31" s="71"/>
    </row>
    <row r="32" spans="2:6">
      <c r="B32" s="92" t="s">
        <v>23</v>
      </c>
      <c r="C32" s="11" t="s">
        <v>24</v>
      </c>
      <c r="D32" s="202">
        <v>183608.03999999998</v>
      </c>
      <c r="E32" s="225">
        <v>113471.44</v>
      </c>
      <c r="F32" s="71"/>
    </row>
    <row r="33" spans="2:6">
      <c r="B33" s="182" t="s">
        <v>4</v>
      </c>
      <c r="C33" s="175" t="s">
        <v>25</v>
      </c>
      <c r="D33" s="203">
        <v>157597.01999999999</v>
      </c>
      <c r="E33" s="226">
        <v>110595.09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831.75</v>
      </c>
      <c r="E35" s="226">
        <v>423.21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2594.4899999999998</v>
      </c>
      <c r="E37" s="226">
        <v>2453.14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>
        <v>22584.78</v>
      </c>
      <c r="E39" s="227"/>
      <c r="F39" s="71"/>
    </row>
    <row r="40" spans="2:6" ht="13.5" thickBot="1">
      <c r="B40" s="97" t="s">
        <v>35</v>
      </c>
      <c r="C40" s="98" t="s">
        <v>36</v>
      </c>
      <c r="D40" s="205">
        <v>5365.42</v>
      </c>
      <c r="E40" s="232">
        <v>3285.95</v>
      </c>
    </row>
    <row r="41" spans="2:6" ht="13.5" thickBot="1">
      <c r="B41" s="99" t="s">
        <v>37</v>
      </c>
      <c r="C41" s="100" t="s">
        <v>38</v>
      </c>
      <c r="D41" s="206">
        <v>203272.61000000002</v>
      </c>
      <c r="E41" s="148">
        <f>E26+E27+E40</f>
        <v>93087.119999999981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1325.4954</v>
      </c>
      <c r="E47" s="149">
        <v>800.85339999999997</v>
      </c>
    </row>
    <row r="48" spans="2:6">
      <c r="B48" s="187" t="s">
        <v>6</v>
      </c>
      <c r="C48" s="188" t="s">
        <v>41</v>
      </c>
      <c r="D48" s="207">
        <v>800.85339999999997</v>
      </c>
      <c r="E48" s="293">
        <v>358.0274</v>
      </c>
    </row>
    <row r="49" spans="2:5">
      <c r="B49" s="120" t="s">
        <v>23</v>
      </c>
      <c r="C49" s="124" t="s">
        <v>113</v>
      </c>
      <c r="D49" s="208"/>
      <c r="E49" s="235"/>
    </row>
    <row r="50" spans="2:5">
      <c r="B50" s="185" t="s">
        <v>4</v>
      </c>
      <c r="C50" s="186" t="s">
        <v>40</v>
      </c>
      <c r="D50" s="207">
        <v>248.36</v>
      </c>
      <c r="E50" s="235">
        <v>253.82</v>
      </c>
    </row>
    <row r="51" spans="2:5">
      <c r="B51" s="185" t="s">
        <v>6</v>
      </c>
      <c r="C51" s="186" t="s">
        <v>114</v>
      </c>
      <c r="D51" s="207">
        <v>248.36</v>
      </c>
      <c r="E51" s="236">
        <v>253.6</v>
      </c>
    </row>
    <row r="52" spans="2:5">
      <c r="B52" s="185" t="s">
        <v>8</v>
      </c>
      <c r="C52" s="186" t="s">
        <v>115</v>
      </c>
      <c r="D52" s="207">
        <v>253.83</v>
      </c>
      <c r="E52" s="236">
        <v>260.01</v>
      </c>
    </row>
    <row r="53" spans="2:5" ht="13.5" thickBot="1">
      <c r="B53" s="189" t="s">
        <v>9</v>
      </c>
      <c r="C53" s="190" t="s">
        <v>41</v>
      </c>
      <c r="D53" s="209">
        <v>253.82</v>
      </c>
      <c r="E53" s="298">
        <v>260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4.25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93087.12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93087.12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93087.12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93087.12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1"/>
  <dimension ref="A1:F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 customFormat="1">
      <c r="B1" s="1"/>
      <c r="C1" s="1"/>
      <c r="D1" s="2"/>
      <c r="E1" s="2"/>
    </row>
    <row r="2" spans="2:5" customFormat="1" ht="15.75">
      <c r="B2" s="357" t="s">
        <v>0</v>
      </c>
      <c r="C2" s="357"/>
      <c r="D2" s="357"/>
      <c r="E2" s="357"/>
    </row>
    <row r="3" spans="2:5" customFormat="1" ht="15.75">
      <c r="B3" s="357" t="s">
        <v>267</v>
      </c>
      <c r="C3" s="357"/>
      <c r="D3" s="357"/>
      <c r="E3" s="357"/>
    </row>
    <row r="4" spans="2:5" customFormat="1" ht="15">
      <c r="B4" s="147"/>
      <c r="C4" s="147"/>
      <c r="D4" s="147"/>
      <c r="E4" s="147"/>
    </row>
    <row r="5" spans="2:5" customFormat="1" ht="14.25">
      <c r="B5" s="358" t="s">
        <v>1</v>
      </c>
      <c r="C5" s="358"/>
      <c r="D5" s="358"/>
      <c r="E5" s="358"/>
    </row>
    <row r="6" spans="2:5" customFormat="1" ht="14.25" customHeight="1">
      <c r="B6" s="359" t="s">
        <v>181</v>
      </c>
      <c r="C6" s="359"/>
      <c r="D6" s="359"/>
      <c r="E6" s="359"/>
    </row>
    <row r="7" spans="2:5" customFormat="1" ht="14.25">
      <c r="B7" s="153"/>
      <c r="C7" s="153"/>
      <c r="D7" s="153"/>
      <c r="E7" s="153"/>
    </row>
    <row r="8" spans="2:5" customFormat="1" ht="13.5">
      <c r="B8" s="361" t="s">
        <v>18</v>
      </c>
      <c r="C8" s="363"/>
      <c r="D8" s="363"/>
      <c r="E8" s="363"/>
    </row>
    <row r="9" spans="2:5" customFormat="1" ht="16.5" thickBot="1">
      <c r="B9" s="360" t="s">
        <v>103</v>
      </c>
      <c r="C9" s="360"/>
      <c r="D9" s="360"/>
      <c r="E9" s="360"/>
    </row>
    <row r="10" spans="2:5" customFormat="1" ht="13.5" thickBot="1">
      <c r="B10" s="154"/>
      <c r="C10" s="76" t="s">
        <v>2</v>
      </c>
      <c r="D10" s="70" t="s">
        <v>125</v>
      </c>
      <c r="E10" s="319" t="s">
        <v>268</v>
      </c>
    </row>
    <row r="11" spans="2:5" customFormat="1">
      <c r="B11" s="90" t="s">
        <v>3</v>
      </c>
      <c r="C11" s="128" t="s">
        <v>109</v>
      </c>
      <c r="D11" s="243">
        <v>60546.06</v>
      </c>
      <c r="E11" s="244">
        <f>SUM(E12:E14)</f>
        <v>35508.89</v>
      </c>
    </row>
    <row r="12" spans="2:5" customFormat="1">
      <c r="B12" s="174" t="s">
        <v>4</v>
      </c>
      <c r="C12" s="175" t="s">
        <v>5</v>
      </c>
      <c r="D12" s="283">
        <v>60546.06</v>
      </c>
      <c r="E12" s="304">
        <v>35508.89</v>
      </c>
    </row>
    <row r="13" spans="2:5" customFormat="1">
      <c r="B13" s="174" t="s">
        <v>6</v>
      </c>
      <c r="C13" s="176" t="s">
        <v>7</v>
      </c>
      <c r="D13" s="276"/>
      <c r="E13" s="305"/>
    </row>
    <row r="14" spans="2:5" customFormat="1">
      <c r="B14" s="174" t="s">
        <v>8</v>
      </c>
      <c r="C14" s="176" t="s">
        <v>10</v>
      </c>
      <c r="D14" s="276"/>
      <c r="E14" s="305"/>
    </row>
    <row r="15" spans="2:5" customFormat="1">
      <c r="B15" s="174" t="s">
        <v>106</v>
      </c>
      <c r="C15" s="176" t="s">
        <v>11</v>
      </c>
      <c r="D15" s="276"/>
      <c r="E15" s="305"/>
    </row>
    <row r="16" spans="2:5" customFormat="1">
      <c r="B16" s="177" t="s">
        <v>107</v>
      </c>
      <c r="C16" s="178" t="s">
        <v>12</v>
      </c>
      <c r="D16" s="278"/>
      <c r="E16" s="306"/>
    </row>
    <row r="17" spans="2:6" customFormat="1">
      <c r="B17" s="9" t="s">
        <v>13</v>
      </c>
      <c r="C17" s="11" t="s">
        <v>65</v>
      </c>
      <c r="D17" s="279"/>
      <c r="E17" s="307"/>
    </row>
    <row r="18" spans="2:6" customFormat="1">
      <c r="B18" s="174" t="s">
        <v>4</v>
      </c>
      <c r="C18" s="175" t="s">
        <v>11</v>
      </c>
      <c r="D18" s="278"/>
      <c r="E18" s="306"/>
    </row>
    <row r="19" spans="2:6" customFormat="1" ht="15" customHeight="1">
      <c r="B19" s="174" t="s">
        <v>6</v>
      </c>
      <c r="C19" s="176" t="s">
        <v>108</v>
      </c>
      <c r="D19" s="276"/>
      <c r="E19" s="305"/>
    </row>
    <row r="20" spans="2:6" customFormat="1" ht="13.5" thickBot="1">
      <c r="B20" s="179" t="s">
        <v>8</v>
      </c>
      <c r="C20" s="180" t="s">
        <v>14</v>
      </c>
      <c r="D20" s="245"/>
      <c r="E20" s="246"/>
    </row>
    <row r="21" spans="2:6" customFormat="1" ht="13.5" thickBot="1">
      <c r="B21" s="367" t="s">
        <v>110</v>
      </c>
      <c r="C21" s="368"/>
      <c r="D21" s="247">
        <v>60546.06</v>
      </c>
      <c r="E21" s="148">
        <f>E11-E17</f>
        <v>35508.89</v>
      </c>
      <c r="F21" s="77"/>
    </row>
    <row r="22" spans="2:6" customFormat="1">
      <c r="B22" s="3"/>
      <c r="C22" s="7"/>
      <c r="D22" s="8"/>
      <c r="E22" s="8"/>
    </row>
    <row r="23" spans="2:6" customFormat="1" ht="13.5">
      <c r="B23" s="361" t="s">
        <v>104</v>
      </c>
      <c r="C23" s="371"/>
      <c r="D23" s="371"/>
      <c r="E23" s="371"/>
    </row>
    <row r="24" spans="2:6" customFormat="1" ht="15.75" customHeight="1" thickBot="1">
      <c r="B24" s="360" t="s">
        <v>105</v>
      </c>
      <c r="C24" s="372"/>
      <c r="D24" s="372"/>
      <c r="E24" s="372"/>
    </row>
    <row r="25" spans="2:6" customFormat="1" ht="13.5" thickBot="1">
      <c r="B25" s="214"/>
      <c r="C25" s="181" t="s">
        <v>2</v>
      </c>
      <c r="D25" s="70" t="s">
        <v>125</v>
      </c>
      <c r="E25" s="319" t="s">
        <v>268</v>
      </c>
    </row>
    <row r="26" spans="2:6" customFormat="1">
      <c r="B26" s="95" t="s">
        <v>15</v>
      </c>
      <c r="C26" s="96" t="s">
        <v>16</v>
      </c>
      <c r="D26" s="201">
        <v>69905.100000000006</v>
      </c>
      <c r="E26" s="231">
        <f>D21</f>
        <v>60546.06</v>
      </c>
    </row>
    <row r="27" spans="2:6" customFormat="1">
      <c r="B27" s="9" t="s">
        <v>17</v>
      </c>
      <c r="C27" s="10" t="s">
        <v>111</v>
      </c>
      <c r="D27" s="202">
        <v>-9738.2800000000007</v>
      </c>
      <c r="E27" s="224">
        <v>-30675.19</v>
      </c>
      <c r="F27" s="71"/>
    </row>
    <row r="28" spans="2:6" customFormat="1">
      <c r="B28" s="9" t="s">
        <v>18</v>
      </c>
      <c r="C28" s="10" t="s">
        <v>19</v>
      </c>
      <c r="D28" s="202">
        <v>0</v>
      </c>
      <c r="E28" s="225">
        <v>0</v>
      </c>
      <c r="F28" s="71"/>
    </row>
    <row r="29" spans="2:6" customFormat="1">
      <c r="B29" s="182" t="s">
        <v>4</v>
      </c>
      <c r="C29" s="175" t="s">
        <v>20</v>
      </c>
      <c r="D29" s="203"/>
      <c r="E29" s="226"/>
      <c r="F29" s="71"/>
    </row>
    <row r="30" spans="2:6" customFormat="1">
      <c r="B30" s="182" t="s">
        <v>6</v>
      </c>
      <c r="C30" s="175" t="s">
        <v>21</v>
      </c>
      <c r="D30" s="203"/>
      <c r="E30" s="226"/>
      <c r="F30" s="71"/>
    </row>
    <row r="31" spans="2:6" customFormat="1">
      <c r="B31" s="182" t="s">
        <v>8</v>
      </c>
      <c r="C31" s="175" t="s">
        <v>22</v>
      </c>
      <c r="D31" s="203"/>
      <c r="E31" s="226"/>
      <c r="F31" s="71"/>
    </row>
    <row r="32" spans="2:6" customFormat="1">
      <c r="B32" s="92" t="s">
        <v>23</v>
      </c>
      <c r="C32" s="11" t="s">
        <v>24</v>
      </c>
      <c r="D32" s="202">
        <v>9738.2800000000007</v>
      </c>
      <c r="E32" s="225">
        <v>30675.19</v>
      </c>
      <c r="F32" s="71"/>
    </row>
    <row r="33" spans="2:6" customFormat="1">
      <c r="B33" s="182" t="s">
        <v>4</v>
      </c>
      <c r="C33" s="175" t="s">
        <v>25</v>
      </c>
      <c r="D33" s="203">
        <v>8309.26</v>
      </c>
      <c r="E33" s="226">
        <v>29622.94</v>
      </c>
      <c r="F33" s="71"/>
    </row>
    <row r="34" spans="2:6" customFormat="1">
      <c r="B34" s="182" t="s">
        <v>6</v>
      </c>
      <c r="C34" s="175" t="s">
        <v>26</v>
      </c>
      <c r="D34" s="203"/>
      <c r="E34" s="226"/>
      <c r="F34" s="71"/>
    </row>
    <row r="35" spans="2:6" customFormat="1">
      <c r="B35" s="182" t="s">
        <v>8</v>
      </c>
      <c r="C35" s="175" t="s">
        <v>27</v>
      </c>
      <c r="D35" s="203">
        <v>316.58999999999997</v>
      </c>
      <c r="E35" s="226">
        <v>230.6</v>
      </c>
      <c r="F35" s="71"/>
    </row>
    <row r="36" spans="2:6" customFormat="1">
      <c r="B36" s="182" t="s">
        <v>9</v>
      </c>
      <c r="C36" s="175" t="s">
        <v>28</v>
      </c>
      <c r="D36" s="203"/>
      <c r="E36" s="226"/>
      <c r="F36" s="71"/>
    </row>
    <row r="37" spans="2:6" customFormat="1" ht="25.5">
      <c r="B37" s="182" t="s">
        <v>29</v>
      </c>
      <c r="C37" s="175" t="s">
        <v>30</v>
      </c>
      <c r="D37" s="203">
        <v>1112.43</v>
      </c>
      <c r="E37" s="226">
        <v>821.65</v>
      </c>
      <c r="F37" s="71"/>
    </row>
    <row r="38" spans="2:6" customFormat="1">
      <c r="B38" s="182" t="s">
        <v>31</v>
      </c>
      <c r="C38" s="175" t="s">
        <v>32</v>
      </c>
      <c r="D38" s="203"/>
      <c r="E38" s="226"/>
      <c r="F38" s="71"/>
    </row>
    <row r="39" spans="2:6" customFormat="1">
      <c r="B39" s="183" t="s">
        <v>33</v>
      </c>
      <c r="C39" s="184" t="s">
        <v>34</v>
      </c>
      <c r="D39" s="204"/>
      <c r="E39" s="227"/>
      <c r="F39" s="71"/>
    </row>
    <row r="40" spans="2:6" customFormat="1" ht="13.5" thickBot="1">
      <c r="B40" s="97" t="s">
        <v>35</v>
      </c>
      <c r="C40" s="98" t="s">
        <v>36</v>
      </c>
      <c r="D40" s="205">
        <v>379.24</v>
      </c>
      <c r="E40" s="232">
        <v>5638.02</v>
      </c>
    </row>
    <row r="41" spans="2:6" customFormat="1" ht="13.5" thickBot="1">
      <c r="B41" s="99" t="s">
        <v>37</v>
      </c>
      <c r="C41" s="100" t="s">
        <v>38</v>
      </c>
      <c r="D41" s="206">
        <v>60546.060000000005</v>
      </c>
      <c r="E41" s="148">
        <f>E26+E27+E40</f>
        <v>35508.89</v>
      </c>
      <c r="F41" s="77"/>
    </row>
    <row r="42" spans="2:6" customFormat="1">
      <c r="B42" s="93"/>
      <c r="C42" s="93"/>
      <c r="D42" s="94"/>
      <c r="E42" s="94"/>
      <c r="F42" s="77"/>
    </row>
    <row r="43" spans="2:6" customFormat="1" ht="13.5">
      <c r="B43" s="362" t="s">
        <v>60</v>
      </c>
      <c r="C43" s="374"/>
      <c r="D43" s="374"/>
      <c r="E43" s="374"/>
    </row>
    <row r="44" spans="2:6" customFormat="1" ht="18" customHeight="1" thickBot="1">
      <c r="B44" s="360" t="s">
        <v>121</v>
      </c>
      <c r="C44" s="373"/>
      <c r="D44" s="373"/>
      <c r="E44" s="373"/>
    </row>
    <row r="45" spans="2:6" customFormat="1" ht="13.5" thickBot="1">
      <c r="B45" s="214"/>
      <c r="C45" s="29" t="s">
        <v>39</v>
      </c>
      <c r="D45" s="70" t="s">
        <v>125</v>
      </c>
      <c r="E45" s="319" t="s">
        <v>268</v>
      </c>
    </row>
    <row r="46" spans="2:6" customFormat="1">
      <c r="B46" s="13" t="s">
        <v>18</v>
      </c>
      <c r="C46" s="30" t="s">
        <v>112</v>
      </c>
      <c r="D46" s="101"/>
      <c r="E46" s="28"/>
    </row>
    <row r="47" spans="2:6" customFormat="1">
      <c r="B47" s="185" t="s">
        <v>4</v>
      </c>
      <c r="C47" s="186" t="s">
        <v>40</v>
      </c>
      <c r="D47" s="207">
        <v>2059.6671000000001</v>
      </c>
      <c r="E47" s="149">
        <v>1778.6739</v>
      </c>
    </row>
    <row r="48" spans="2:6" customFormat="1">
      <c r="B48" s="187" t="s">
        <v>6</v>
      </c>
      <c r="C48" s="188" t="s">
        <v>41</v>
      </c>
      <c r="D48" s="207">
        <v>1778.6739</v>
      </c>
      <c r="E48" s="291">
        <v>924.71069999999997</v>
      </c>
    </row>
    <row r="49" spans="2:5" customFormat="1">
      <c r="B49" s="120" t="s">
        <v>23</v>
      </c>
      <c r="C49" s="124" t="s">
        <v>113</v>
      </c>
      <c r="D49" s="208"/>
      <c r="E49" s="240"/>
    </row>
    <row r="50" spans="2:5" customFormat="1">
      <c r="B50" s="185" t="s">
        <v>4</v>
      </c>
      <c r="C50" s="186" t="s">
        <v>40</v>
      </c>
      <c r="D50" s="207">
        <v>33.94</v>
      </c>
      <c r="E50" s="149">
        <v>34.04</v>
      </c>
    </row>
    <row r="51" spans="2:5" customFormat="1">
      <c r="B51" s="185" t="s">
        <v>6</v>
      </c>
      <c r="C51" s="186" t="s">
        <v>114</v>
      </c>
      <c r="D51" s="207">
        <v>33.549999999999997</v>
      </c>
      <c r="E51" s="75">
        <v>33.81</v>
      </c>
    </row>
    <row r="52" spans="2:5" customFormat="1">
      <c r="B52" s="185" t="s">
        <v>8</v>
      </c>
      <c r="C52" s="186" t="s">
        <v>115</v>
      </c>
      <c r="D52" s="207">
        <v>37.1</v>
      </c>
      <c r="E52" s="75">
        <v>38.53</v>
      </c>
    </row>
    <row r="53" spans="2:5" customFormat="1" ht="13.5" thickBot="1">
      <c r="B53" s="189" t="s">
        <v>9</v>
      </c>
      <c r="C53" s="190" t="s">
        <v>41</v>
      </c>
      <c r="D53" s="209">
        <v>34.04</v>
      </c>
      <c r="E53" s="298">
        <v>38.4</v>
      </c>
    </row>
    <row r="54" spans="2:5" customFormat="1">
      <c r="B54" s="109"/>
      <c r="C54" s="110"/>
      <c r="D54" s="111"/>
      <c r="E54" s="111"/>
    </row>
    <row r="55" spans="2:5" customFormat="1" ht="13.5">
      <c r="B55" s="362" t="s">
        <v>62</v>
      </c>
      <c r="C55" s="363"/>
      <c r="D55" s="363"/>
      <c r="E55" s="363"/>
    </row>
    <row r="56" spans="2:5" customFormat="1" ht="14.25" thickBot="1">
      <c r="B56" s="360" t="s">
        <v>116</v>
      </c>
      <c r="C56" s="364"/>
      <c r="D56" s="364"/>
      <c r="E56" s="364"/>
    </row>
    <row r="57" spans="2:5" customFormat="1" ht="23.25" thickBot="1">
      <c r="B57" s="355" t="s">
        <v>42</v>
      </c>
      <c r="C57" s="356"/>
      <c r="D57" s="18" t="s">
        <v>122</v>
      </c>
      <c r="E57" s="19" t="s">
        <v>117</v>
      </c>
    </row>
    <row r="58" spans="2:5" customFormat="1">
      <c r="B58" s="20" t="s">
        <v>18</v>
      </c>
      <c r="C58" s="126" t="s">
        <v>43</v>
      </c>
      <c r="D58" s="127">
        <f>D64</f>
        <v>35508.89</v>
      </c>
      <c r="E58" s="31">
        <f>D58/E21</f>
        <v>1</v>
      </c>
    </row>
    <row r="59" spans="2:5" customFormat="1" ht="25.5">
      <c r="B59" s="123" t="s">
        <v>4</v>
      </c>
      <c r="C59" s="22" t="s">
        <v>44</v>
      </c>
      <c r="D59" s="80">
        <v>0</v>
      </c>
      <c r="E59" s="81">
        <v>0</v>
      </c>
    </row>
    <row r="60" spans="2:5" customFormat="1" ht="25.5">
      <c r="B60" s="102" t="s">
        <v>6</v>
      </c>
      <c r="C60" s="15" t="s">
        <v>45</v>
      </c>
      <c r="D60" s="78">
        <v>0</v>
      </c>
      <c r="E60" s="79">
        <v>0</v>
      </c>
    </row>
    <row r="61" spans="2:5" customFormat="1">
      <c r="B61" s="102" t="s">
        <v>8</v>
      </c>
      <c r="C61" s="15" t="s">
        <v>46</v>
      </c>
      <c r="D61" s="78">
        <v>0</v>
      </c>
      <c r="E61" s="79">
        <v>0</v>
      </c>
    </row>
    <row r="62" spans="2:5" customFormat="1">
      <c r="B62" s="102" t="s">
        <v>9</v>
      </c>
      <c r="C62" s="15" t="s">
        <v>47</v>
      </c>
      <c r="D62" s="78">
        <v>0</v>
      </c>
      <c r="E62" s="79">
        <v>0</v>
      </c>
    </row>
    <row r="63" spans="2:5" customFormat="1">
      <c r="B63" s="102" t="s">
        <v>29</v>
      </c>
      <c r="C63" s="15" t="s">
        <v>48</v>
      </c>
      <c r="D63" s="78">
        <v>0</v>
      </c>
      <c r="E63" s="79">
        <v>0</v>
      </c>
    </row>
    <row r="64" spans="2:5" customFormat="1">
      <c r="B64" s="123" t="s">
        <v>31</v>
      </c>
      <c r="C64" s="22" t="s">
        <v>49</v>
      </c>
      <c r="D64" s="80">
        <f>E21</f>
        <v>35508.89</v>
      </c>
      <c r="E64" s="81">
        <f>E58</f>
        <v>1</v>
      </c>
    </row>
    <row r="65" spans="2:5" customFormat="1">
      <c r="B65" s="123" t="s">
        <v>33</v>
      </c>
      <c r="C65" s="22" t="s">
        <v>118</v>
      </c>
      <c r="D65" s="80">
        <v>0</v>
      </c>
      <c r="E65" s="81">
        <v>0</v>
      </c>
    </row>
    <row r="66" spans="2:5" customFormat="1">
      <c r="B66" s="123" t="s">
        <v>50</v>
      </c>
      <c r="C66" s="22" t="s">
        <v>51</v>
      </c>
      <c r="D66" s="80">
        <v>0</v>
      </c>
      <c r="E66" s="81">
        <v>0</v>
      </c>
    </row>
    <row r="67" spans="2:5" customFormat="1">
      <c r="B67" s="102" t="s">
        <v>52</v>
      </c>
      <c r="C67" s="15" t="s">
        <v>53</v>
      </c>
      <c r="D67" s="78">
        <v>0</v>
      </c>
      <c r="E67" s="79">
        <v>0</v>
      </c>
    </row>
    <row r="68" spans="2:5" customFormat="1">
      <c r="B68" s="102" t="s">
        <v>54</v>
      </c>
      <c r="C68" s="15" t="s">
        <v>55</v>
      </c>
      <c r="D68" s="78">
        <v>0</v>
      </c>
      <c r="E68" s="79">
        <v>0</v>
      </c>
    </row>
    <row r="69" spans="2:5" customFormat="1">
      <c r="B69" s="102" t="s">
        <v>56</v>
      </c>
      <c r="C69" s="15" t="s">
        <v>57</v>
      </c>
      <c r="D69" s="274">
        <v>0</v>
      </c>
      <c r="E69" s="79">
        <v>0</v>
      </c>
    </row>
    <row r="70" spans="2:5" customFormat="1">
      <c r="B70" s="129" t="s">
        <v>58</v>
      </c>
      <c r="C70" s="113" t="s">
        <v>59</v>
      </c>
      <c r="D70" s="114">
        <v>0</v>
      </c>
      <c r="E70" s="115">
        <v>0</v>
      </c>
    </row>
    <row r="71" spans="2:5" customFormat="1">
      <c r="B71" s="130" t="s">
        <v>23</v>
      </c>
      <c r="C71" s="121" t="s">
        <v>61</v>
      </c>
      <c r="D71" s="122">
        <v>0</v>
      </c>
      <c r="E71" s="66">
        <v>0</v>
      </c>
    </row>
    <row r="72" spans="2:5" customFormat="1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 customFormat="1">
      <c r="B73" s="132" t="s">
        <v>62</v>
      </c>
      <c r="C73" s="24" t="s">
        <v>65</v>
      </c>
      <c r="D73" s="25">
        <v>0</v>
      </c>
      <c r="E73" s="26">
        <v>0</v>
      </c>
    </row>
    <row r="74" spans="2:5" customFormat="1">
      <c r="B74" s="130" t="s">
        <v>64</v>
      </c>
      <c r="C74" s="121" t="s">
        <v>66</v>
      </c>
      <c r="D74" s="122">
        <f>D58</f>
        <v>35508.89</v>
      </c>
      <c r="E74" s="66">
        <f>E58+E72-E73</f>
        <v>1</v>
      </c>
    </row>
    <row r="75" spans="2:5" customFormat="1">
      <c r="B75" s="102" t="s">
        <v>4</v>
      </c>
      <c r="C75" s="15" t="s">
        <v>67</v>
      </c>
      <c r="D75" s="78">
        <f>D74</f>
        <v>35508.89</v>
      </c>
      <c r="E75" s="79">
        <f>E74</f>
        <v>1</v>
      </c>
    </row>
    <row r="76" spans="2:5" customFormat="1">
      <c r="B76" s="102" t="s">
        <v>6</v>
      </c>
      <c r="C76" s="15" t="s">
        <v>119</v>
      </c>
      <c r="D76" s="78">
        <v>0</v>
      </c>
      <c r="E76" s="79">
        <v>0</v>
      </c>
    </row>
    <row r="77" spans="2:5" customFormat="1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 customFormat="1">
      <c r="B78" s="1"/>
      <c r="C78" s="1"/>
      <c r="D78" s="2"/>
      <c r="E78" s="2"/>
    </row>
    <row r="79" spans="2:5" customFormat="1">
      <c r="B79" s="1"/>
      <c r="C79" s="1"/>
      <c r="D79" s="2"/>
      <c r="E79" s="2"/>
    </row>
    <row r="80" spans="2:5" customFormat="1">
      <c r="B80" s="1"/>
      <c r="C80" s="1"/>
      <c r="D80" s="2"/>
      <c r="E80" s="2"/>
    </row>
    <row r="81" spans="2:5" customFormat="1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F81"/>
  <sheetViews>
    <sheetView zoomScale="80" zoomScaleNormal="80" workbookViewId="0">
      <selection activeCell="G1" sqref="G1:N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85"/>
      <c r="C4" s="85"/>
      <c r="D4" s="85"/>
      <c r="E4" s="85"/>
    </row>
    <row r="5" spans="2:5" ht="21" customHeight="1">
      <c r="B5" s="358" t="s">
        <v>1</v>
      </c>
      <c r="C5" s="358"/>
      <c r="D5" s="358"/>
      <c r="E5" s="358"/>
    </row>
    <row r="6" spans="2:5" ht="14.25">
      <c r="B6" s="359" t="s">
        <v>89</v>
      </c>
      <c r="C6" s="359"/>
      <c r="D6" s="359"/>
      <c r="E6" s="359"/>
    </row>
    <row r="7" spans="2:5" ht="14.25">
      <c r="B7" s="89"/>
      <c r="C7" s="89"/>
      <c r="D7" s="89"/>
      <c r="E7" s="89"/>
    </row>
    <row r="8" spans="2:5" ht="13.5">
      <c r="B8" s="361" t="s">
        <v>18</v>
      </c>
      <c r="C8" s="363"/>
      <c r="D8" s="363"/>
      <c r="E8" s="363"/>
    </row>
    <row r="9" spans="2:5" ht="16.5" thickBot="1">
      <c r="B9" s="360" t="s">
        <v>103</v>
      </c>
      <c r="C9" s="360"/>
      <c r="D9" s="360"/>
      <c r="E9" s="360"/>
    </row>
    <row r="10" spans="2:5" ht="13.5" thickBot="1">
      <c r="B10" s="86"/>
      <c r="C10" s="76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28" t="s">
        <v>109</v>
      </c>
      <c r="D11" s="243">
        <v>44504440.580000006</v>
      </c>
      <c r="E11" s="244">
        <f>SUM(E12:E14)</f>
        <v>45898661.700000003</v>
      </c>
    </row>
    <row r="12" spans="2:5">
      <c r="B12" s="106" t="s">
        <v>4</v>
      </c>
      <c r="C12" s="6" t="s">
        <v>5</v>
      </c>
      <c r="D12" s="283">
        <v>44255383.950000003</v>
      </c>
      <c r="E12" s="304">
        <f>45940131.07+226244.44-454139.26</f>
        <v>45712236.25</v>
      </c>
    </row>
    <row r="13" spans="2:5">
      <c r="B13" s="106" t="s">
        <v>6</v>
      </c>
      <c r="C13" s="68" t="s">
        <v>7</v>
      </c>
      <c r="D13" s="276"/>
      <c r="E13" s="305"/>
    </row>
    <row r="14" spans="2:5">
      <c r="B14" s="106" t="s">
        <v>8</v>
      </c>
      <c r="C14" s="68" t="s">
        <v>10</v>
      </c>
      <c r="D14" s="276">
        <v>249056.63</v>
      </c>
      <c r="E14" s="305">
        <f>E15</f>
        <v>186425.45</v>
      </c>
    </row>
    <row r="15" spans="2:5">
      <c r="B15" s="106" t="s">
        <v>106</v>
      </c>
      <c r="C15" s="68" t="s">
        <v>11</v>
      </c>
      <c r="D15" s="276">
        <v>249056.63</v>
      </c>
      <c r="E15" s="305">
        <v>186425.45</v>
      </c>
    </row>
    <row r="16" spans="2:5">
      <c r="B16" s="107" t="s">
        <v>107</v>
      </c>
      <c r="C16" s="91" t="s">
        <v>12</v>
      </c>
      <c r="D16" s="278"/>
      <c r="E16" s="306"/>
    </row>
    <row r="17" spans="2:6">
      <c r="B17" s="9" t="s">
        <v>13</v>
      </c>
      <c r="C17" s="11" t="s">
        <v>65</v>
      </c>
      <c r="D17" s="279">
        <v>88766.38</v>
      </c>
      <c r="E17" s="307">
        <f>E18</f>
        <v>92012.32</v>
      </c>
    </row>
    <row r="18" spans="2:6">
      <c r="B18" s="106" t="s">
        <v>4</v>
      </c>
      <c r="C18" s="6" t="s">
        <v>11</v>
      </c>
      <c r="D18" s="278">
        <v>88766.38</v>
      </c>
      <c r="E18" s="306">
        <v>92012.32</v>
      </c>
    </row>
    <row r="19" spans="2:6" ht="15" customHeight="1">
      <c r="B19" s="106" t="s">
        <v>6</v>
      </c>
      <c r="C19" s="68" t="s">
        <v>108</v>
      </c>
      <c r="D19" s="276"/>
      <c r="E19" s="305"/>
    </row>
    <row r="20" spans="2:6" ht="13.5" thickBot="1">
      <c r="B20" s="108" t="s">
        <v>8</v>
      </c>
      <c r="C20" s="69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44415674.200000003</v>
      </c>
      <c r="E21" s="148">
        <f>E11-E17</f>
        <v>45806649.380000003</v>
      </c>
      <c r="F21" s="77"/>
    </row>
    <row r="22" spans="2:6">
      <c r="B22" s="3"/>
      <c r="C22" s="7"/>
      <c r="D22" s="8"/>
      <c r="E22" s="8"/>
    </row>
    <row r="23" spans="2:6" ht="15.75">
      <c r="B23" s="361"/>
      <c r="C23" s="369"/>
      <c r="D23" s="369"/>
      <c r="E23" s="369"/>
    </row>
    <row r="24" spans="2:6" ht="17.25" customHeight="1" thickBot="1">
      <c r="B24" s="360" t="s">
        <v>105</v>
      </c>
      <c r="C24" s="370"/>
      <c r="D24" s="370"/>
      <c r="E24" s="370"/>
    </row>
    <row r="25" spans="2:6" ht="13.5" thickBot="1">
      <c r="B25" s="86"/>
      <c r="C25" s="5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53236558.090000004</v>
      </c>
      <c r="E26" s="231">
        <f>D21</f>
        <v>44415674.200000003</v>
      </c>
    </row>
    <row r="27" spans="2:6">
      <c r="B27" s="9" t="s">
        <v>17</v>
      </c>
      <c r="C27" s="10" t="s">
        <v>111</v>
      </c>
      <c r="D27" s="202">
        <v>121640.58999999985</v>
      </c>
      <c r="E27" s="224">
        <f>E28-E32</f>
        <v>-958455.89999999665</v>
      </c>
      <c r="F27" s="71"/>
    </row>
    <row r="28" spans="2:6">
      <c r="B28" s="9" t="s">
        <v>18</v>
      </c>
      <c r="C28" s="10" t="s">
        <v>19</v>
      </c>
      <c r="D28" s="202">
        <v>11014966.9</v>
      </c>
      <c r="E28" s="225">
        <v>9083765.2300000004</v>
      </c>
      <c r="F28" s="71"/>
    </row>
    <row r="29" spans="2:6">
      <c r="B29" s="104" t="s">
        <v>4</v>
      </c>
      <c r="C29" s="6" t="s">
        <v>20</v>
      </c>
      <c r="D29" s="203">
        <v>9550264.620000001</v>
      </c>
      <c r="E29" s="226">
        <v>8384109.0500000007</v>
      </c>
      <c r="F29" s="71"/>
    </row>
    <row r="30" spans="2:6">
      <c r="B30" s="104" t="s">
        <v>6</v>
      </c>
      <c r="C30" s="6" t="s">
        <v>21</v>
      </c>
      <c r="D30" s="203"/>
      <c r="E30" s="226"/>
      <c r="F30" s="71"/>
    </row>
    <row r="31" spans="2:6">
      <c r="B31" s="104" t="s">
        <v>8</v>
      </c>
      <c r="C31" s="6" t="s">
        <v>22</v>
      </c>
      <c r="D31" s="203">
        <v>1464702.28</v>
      </c>
      <c r="E31" s="226">
        <v>699656.18</v>
      </c>
      <c r="F31" s="71"/>
    </row>
    <row r="32" spans="2:6">
      <c r="B32" s="92" t="s">
        <v>23</v>
      </c>
      <c r="C32" s="11" t="s">
        <v>24</v>
      </c>
      <c r="D32" s="202">
        <v>10893326.310000001</v>
      </c>
      <c r="E32" s="225">
        <f>SUM(E33:E39)</f>
        <v>10042221.129999997</v>
      </c>
      <c r="F32" s="71"/>
    </row>
    <row r="33" spans="2:6">
      <c r="B33" s="104" t="s">
        <v>4</v>
      </c>
      <c r="C33" s="6" t="s">
        <v>25</v>
      </c>
      <c r="D33" s="203">
        <v>7968906.6400000006</v>
      </c>
      <c r="E33" s="226">
        <f>7245736.26-14324.43</f>
        <v>7231411.8300000001</v>
      </c>
      <c r="F33" s="71"/>
    </row>
    <row r="34" spans="2:6">
      <c r="B34" s="104" t="s">
        <v>6</v>
      </c>
      <c r="C34" s="6" t="s">
        <v>26</v>
      </c>
      <c r="D34" s="203"/>
      <c r="E34" s="226"/>
      <c r="F34" s="71"/>
    </row>
    <row r="35" spans="2:6">
      <c r="B35" s="104" t="s">
        <v>8</v>
      </c>
      <c r="C35" s="6" t="s">
        <v>27</v>
      </c>
      <c r="D35" s="203">
        <v>1328928.57</v>
      </c>
      <c r="E35" s="226">
        <v>1203470.58</v>
      </c>
      <c r="F35" s="71"/>
    </row>
    <row r="36" spans="2:6">
      <c r="B36" s="104" t="s">
        <v>9</v>
      </c>
      <c r="C36" s="6" t="s">
        <v>28</v>
      </c>
      <c r="D36" s="203"/>
      <c r="E36" s="226"/>
      <c r="F36" s="71"/>
    </row>
    <row r="37" spans="2:6" ht="25.5">
      <c r="B37" s="104" t="s">
        <v>29</v>
      </c>
      <c r="C37" s="6" t="s">
        <v>30</v>
      </c>
      <c r="D37" s="203"/>
      <c r="E37" s="226"/>
      <c r="F37" s="71"/>
    </row>
    <row r="38" spans="2:6">
      <c r="B38" s="104" t="s">
        <v>31</v>
      </c>
      <c r="C38" s="6" t="s">
        <v>32</v>
      </c>
      <c r="D38" s="203"/>
      <c r="E38" s="226"/>
      <c r="F38" s="71"/>
    </row>
    <row r="39" spans="2:6">
      <c r="B39" s="105" t="s">
        <v>33</v>
      </c>
      <c r="C39" s="12" t="s">
        <v>34</v>
      </c>
      <c r="D39" s="204">
        <v>1595491.1</v>
      </c>
      <c r="E39" s="227">
        <v>1607338.7199999962</v>
      </c>
      <c r="F39" s="71"/>
    </row>
    <row r="40" spans="2:6" ht="13.5" thickBot="1">
      <c r="B40" s="97" t="s">
        <v>35</v>
      </c>
      <c r="C40" s="98" t="s">
        <v>36</v>
      </c>
      <c r="D40" s="205">
        <v>-8942524.4800000004</v>
      </c>
      <c r="E40" s="232">
        <v>2349431.08</v>
      </c>
    </row>
    <row r="41" spans="2:6" ht="13.5" thickBot="1">
      <c r="B41" s="99" t="s">
        <v>37</v>
      </c>
      <c r="C41" s="100" t="s">
        <v>38</v>
      </c>
      <c r="D41" s="206">
        <v>44415674.200000003</v>
      </c>
      <c r="E41" s="148">
        <f>E26+E27+E40</f>
        <v>45806649.380000003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63"/>
      <c r="D43" s="363"/>
      <c r="E43" s="363"/>
    </row>
    <row r="44" spans="2:6" ht="17.25" customHeight="1" thickBot="1">
      <c r="B44" s="360" t="s">
        <v>121</v>
      </c>
      <c r="C44" s="364"/>
      <c r="D44" s="364"/>
      <c r="E44" s="364"/>
    </row>
    <row r="45" spans="2:6" ht="13.5" thickBot="1">
      <c r="B45" s="86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7">
        <v>3853115.5855999999</v>
      </c>
      <c r="E47" s="73">
        <v>3858232.0539199999</v>
      </c>
    </row>
    <row r="48" spans="2:6">
      <c r="B48" s="123" t="s">
        <v>6</v>
      </c>
      <c r="C48" s="22" t="s">
        <v>41</v>
      </c>
      <c r="D48" s="207">
        <v>3858232.0539199999</v>
      </c>
      <c r="E48" s="272">
        <v>3778970.8491000002</v>
      </c>
    </row>
    <row r="49" spans="2:5">
      <c r="B49" s="120" t="s">
        <v>23</v>
      </c>
      <c r="C49" s="124" t="s">
        <v>113</v>
      </c>
      <c r="D49" s="208"/>
      <c r="E49" s="73"/>
    </row>
    <row r="50" spans="2:5">
      <c r="B50" s="102" t="s">
        <v>4</v>
      </c>
      <c r="C50" s="15" t="s">
        <v>40</v>
      </c>
      <c r="D50" s="207">
        <v>13.8164965226125</v>
      </c>
      <c r="E50" s="73">
        <v>11.5119240054296</v>
      </c>
    </row>
    <row r="51" spans="2:5">
      <c r="B51" s="102" t="s">
        <v>6</v>
      </c>
      <c r="C51" s="15" t="s">
        <v>114</v>
      </c>
      <c r="D51" s="207">
        <v>11.444000000000001</v>
      </c>
      <c r="E51" s="73">
        <v>11.212</v>
      </c>
    </row>
    <row r="52" spans="2:5">
      <c r="B52" s="102" t="s">
        <v>8</v>
      </c>
      <c r="C52" s="15" t="s">
        <v>115</v>
      </c>
      <c r="D52" s="207">
        <v>14.295</v>
      </c>
      <c r="E52" s="73">
        <v>12.8484</v>
      </c>
    </row>
    <row r="53" spans="2:5" ht="13.5" thickBot="1">
      <c r="B53" s="103" t="s">
        <v>9</v>
      </c>
      <c r="C53" s="17" t="s">
        <v>41</v>
      </c>
      <c r="D53" s="209">
        <v>11.5119240054296</v>
      </c>
      <c r="E53" s="233">
        <v>12.121499999999999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8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SUM(D59:D70)</f>
        <v>45712236.25</v>
      </c>
      <c r="E58" s="31">
        <f>D58/E21</f>
        <v>0.99793887718752849</v>
      </c>
    </row>
    <row r="59" spans="2:5" ht="25.5">
      <c r="B59" s="21" t="s">
        <v>4</v>
      </c>
      <c r="C59" s="22" t="s">
        <v>44</v>
      </c>
      <c r="D59" s="80">
        <v>0</v>
      </c>
      <c r="E59" s="81">
        <v>0</v>
      </c>
    </row>
    <row r="60" spans="2:5" ht="24" customHeight="1">
      <c r="B60" s="14" t="s">
        <v>6</v>
      </c>
      <c r="C60" s="15" t="s">
        <v>45</v>
      </c>
      <c r="D60" s="78">
        <v>0</v>
      </c>
      <c r="E60" s="79">
        <v>0</v>
      </c>
    </row>
    <row r="61" spans="2:5">
      <c r="B61" s="14" t="s">
        <v>8</v>
      </c>
      <c r="C61" s="15" t="s">
        <v>46</v>
      </c>
      <c r="D61" s="78">
        <v>0</v>
      </c>
      <c r="E61" s="79">
        <v>0</v>
      </c>
    </row>
    <row r="62" spans="2:5">
      <c r="B62" s="14" t="s">
        <v>9</v>
      </c>
      <c r="C62" s="15" t="s">
        <v>47</v>
      </c>
      <c r="D62" s="78">
        <v>0</v>
      </c>
      <c r="E62" s="79">
        <v>0</v>
      </c>
    </row>
    <row r="63" spans="2:5">
      <c r="B63" s="14" t="s">
        <v>29</v>
      </c>
      <c r="C63" s="15" t="s">
        <v>48</v>
      </c>
      <c r="D63" s="78">
        <v>0</v>
      </c>
      <c r="E63" s="79">
        <v>0</v>
      </c>
    </row>
    <row r="64" spans="2:5">
      <c r="B64" s="21" t="s">
        <v>31</v>
      </c>
      <c r="C64" s="22" t="s">
        <v>49</v>
      </c>
      <c r="D64" s="152">
        <f>45940131.07-454139.26</f>
        <v>45485991.810000002</v>
      </c>
      <c r="E64" s="81">
        <f>D64/E21</f>
        <v>0.99299975932882778</v>
      </c>
    </row>
    <row r="65" spans="2:5">
      <c r="B65" s="21" t="s">
        <v>33</v>
      </c>
      <c r="C65" s="22" t="s">
        <v>118</v>
      </c>
      <c r="D65" s="80">
        <v>0</v>
      </c>
      <c r="E65" s="81">
        <v>0</v>
      </c>
    </row>
    <row r="66" spans="2:5">
      <c r="B66" s="21" t="s">
        <v>50</v>
      </c>
      <c r="C66" s="22" t="s">
        <v>51</v>
      </c>
      <c r="D66" s="80">
        <v>0</v>
      </c>
      <c r="E66" s="81">
        <v>0</v>
      </c>
    </row>
    <row r="67" spans="2:5">
      <c r="B67" s="14" t="s">
        <v>52</v>
      </c>
      <c r="C67" s="15" t="s">
        <v>53</v>
      </c>
      <c r="D67" s="78">
        <v>0</v>
      </c>
      <c r="E67" s="79">
        <v>0</v>
      </c>
    </row>
    <row r="68" spans="2:5">
      <c r="B68" s="14" t="s">
        <v>54</v>
      </c>
      <c r="C68" s="15" t="s">
        <v>55</v>
      </c>
      <c r="D68" s="78">
        <v>0</v>
      </c>
      <c r="E68" s="79">
        <v>0</v>
      </c>
    </row>
    <row r="69" spans="2:5">
      <c r="B69" s="14" t="s">
        <v>56</v>
      </c>
      <c r="C69" s="15" t="s">
        <v>57</v>
      </c>
      <c r="D69" s="287">
        <v>226244.44</v>
      </c>
      <c r="E69" s="79">
        <f>D69/E21</f>
        <v>4.9391178587007136E-3</v>
      </c>
    </row>
    <row r="70" spans="2:5">
      <c r="B70" s="112" t="s">
        <v>58</v>
      </c>
      <c r="C70" s="113" t="s">
        <v>59</v>
      </c>
      <c r="D70" s="114">
        <v>0</v>
      </c>
      <c r="E70" s="115">
        <v>0</v>
      </c>
    </row>
    <row r="71" spans="2:5">
      <c r="B71" s="120" t="s">
        <v>23</v>
      </c>
      <c r="C71" s="121" t="s">
        <v>61</v>
      </c>
      <c r="D71" s="122">
        <f>E13</f>
        <v>0</v>
      </c>
      <c r="E71" s="66">
        <v>0</v>
      </c>
    </row>
    <row r="72" spans="2:5">
      <c r="B72" s="116" t="s">
        <v>60</v>
      </c>
      <c r="C72" s="117" t="s">
        <v>63</v>
      </c>
      <c r="D72" s="118">
        <f>E14</f>
        <v>186425.45</v>
      </c>
      <c r="E72" s="119">
        <f>D72/E21</f>
        <v>4.069833801932622E-3</v>
      </c>
    </row>
    <row r="73" spans="2:5">
      <c r="B73" s="23" t="s">
        <v>62</v>
      </c>
      <c r="C73" s="24" t="s">
        <v>65</v>
      </c>
      <c r="D73" s="25">
        <f>E17</f>
        <v>92012.32</v>
      </c>
      <c r="E73" s="26">
        <f>D73/E21</f>
        <v>2.0087109894611549E-3</v>
      </c>
    </row>
    <row r="74" spans="2:5">
      <c r="B74" s="120" t="s">
        <v>64</v>
      </c>
      <c r="C74" s="121" t="s">
        <v>66</v>
      </c>
      <c r="D74" s="122">
        <f>D58+D71+D72-D73</f>
        <v>45806649.380000003</v>
      </c>
      <c r="E74" s="66">
        <f>E58+E72-E73</f>
        <v>0.99999999999999989</v>
      </c>
    </row>
    <row r="75" spans="2:5">
      <c r="B75" s="14" t="s">
        <v>4</v>
      </c>
      <c r="C75" s="15" t="s">
        <v>67</v>
      </c>
      <c r="D75" s="78">
        <f>D74</f>
        <v>45806649.380000003</v>
      </c>
      <c r="E75" s="79">
        <f>E74</f>
        <v>0.99999999999999989</v>
      </c>
    </row>
    <row r="76" spans="2:5">
      <c r="B76" s="14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6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62" right="0.75" top="0.52" bottom="0.47" header="0.5" footer="0.5"/>
  <pageSetup paperSize="9" scale="70" orientation="portrait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zoomScale="80" zoomScaleNormal="80" workbookViewId="0">
      <selection activeCell="D38" sqref="D38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 customFormat="1">
      <c r="B1" s="1"/>
      <c r="C1" s="1"/>
      <c r="D1" s="2"/>
      <c r="E1" s="2"/>
    </row>
    <row r="2" spans="2:7" customFormat="1" ht="15.75">
      <c r="B2" s="357" t="s">
        <v>0</v>
      </c>
      <c r="C2" s="357"/>
      <c r="D2" s="357"/>
      <c r="E2" s="357"/>
      <c r="G2" s="71"/>
    </row>
    <row r="3" spans="2:7" customFormat="1" ht="15.75">
      <c r="B3" s="357" t="s">
        <v>267</v>
      </c>
      <c r="C3" s="357"/>
      <c r="D3" s="357"/>
      <c r="E3" s="357"/>
    </row>
    <row r="4" spans="2:7" customFormat="1" ht="15">
      <c r="B4" s="147"/>
      <c r="C4" s="147"/>
      <c r="D4" s="147"/>
      <c r="E4" s="147"/>
    </row>
    <row r="5" spans="2:7" customFormat="1" ht="14.25">
      <c r="B5" s="358" t="s">
        <v>1</v>
      </c>
      <c r="C5" s="358"/>
      <c r="D5" s="358"/>
      <c r="E5" s="358"/>
    </row>
    <row r="6" spans="2:7" customFormat="1" ht="14.25">
      <c r="B6" s="359" t="s">
        <v>251</v>
      </c>
      <c r="C6" s="359"/>
      <c r="D6" s="359"/>
      <c r="E6" s="359"/>
    </row>
    <row r="7" spans="2:7" customFormat="1" ht="14.25">
      <c r="B7" s="213"/>
      <c r="C7" s="213"/>
      <c r="D7" s="213"/>
      <c r="E7" s="213"/>
    </row>
    <row r="8" spans="2:7" customFormat="1" ht="13.5">
      <c r="B8" s="361" t="s">
        <v>18</v>
      </c>
      <c r="C8" s="363"/>
      <c r="D8" s="363"/>
      <c r="E8" s="363"/>
    </row>
    <row r="9" spans="2:7" customFormat="1" ht="16.5" thickBot="1">
      <c r="B9" s="360" t="s">
        <v>103</v>
      </c>
      <c r="C9" s="360"/>
      <c r="D9" s="360"/>
      <c r="E9" s="360"/>
    </row>
    <row r="10" spans="2:7" customFormat="1" ht="13.5" thickBot="1">
      <c r="B10" s="212"/>
      <c r="C10" s="76" t="s">
        <v>2</v>
      </c>
      <c r="D10" s="70" t="s">
        <v>125</v>
      </c>
      <c r="E10" s="319" t="s">
        <v>268</v>
      </c>
    </row>
    <row r="11" spans="2:7" customFormat="1">
      <c r="B11" s="90" t="s">
        <v>3</v>
      </c>
      <c r="C11" s="128" t="s">
        <v>109</v>
      </c>
      <c r="D11" s="243"/>
      <c r="E11" s="244"/>
    </row>
    <row r="12" spans="2:7" customFormat="1">
      <c r="B12" s="174" t="s">
        <v>4</v>
      </c>
      <c r="C12" s="175" t="s">
        <v>5</v>
      </c>
      <c r="D12" s="283"/>
      <c r="E12" s="304"/>
    </row>
    <row r="13" spans="2:7" customFormat="1">
      <c r="B13" s="174" t="s">
        <v>6</v>
      </c>
      <c r="C13" s="176" t="s">
        <v>7</v>
      </c>
      <c r="D13" s="276"/>
      <c r="E13" s="305"/>
    </row>
    <row r="14" spans="2:7" customFormat="1">
      <c r="B14" s="174" t="s">
        <v>8</v>
      </c>
      <c r="C14" s="176" t="s">
        <v>10</v>
      </c>
      <c r="D14" s="276"/>
      <c r="E14" s="305"/>
    </row>
    <row r="15" spans="2:7" customFormat="1">
      <c r="B15" s="174" t="s">
        <v>106</v>
      </c>
      <c r="C15" s="176" t="s">
        <v>11</v>
      </c>
      <c r="D15" s="276"/>
      <c r="E15" s="305"/>
    </row>
    <row r="16" spans="2:7" customFormat="1">
      <c r="B16" s="177" t="s">
        <v>107</v>
      </c>
      <c r="C16" s="178" t="s">
        <v>12</v>
      </c>
      <c r="D16" s="278"/>
      <c r="E16" s="306"/>
    </row>
    <row r="17" spans="2:6" customFormat="1">
      <c r="B17" s="9" t="s">
        <v>13</v>
      </c>
      <c r="C17" s="11" t="s">
        <v>65</v>
      </c>
      <c r="D17" s="279"/>
      <c r="E17" s="307"/>
    </row>
    <row r="18" spans="2:6" customFormat="1">
      <c r="B18" s="174" t="s">
        <v>4</v>
      </c>
      <c r="C18" s="175" t="s">
        <v>11</v>
      </c>
      <c r="D18" s="278"/>
      <c r="E18" s="306"/>
    </row>
    <row r="19" spans="2:6" customFormat="1" ht="15" customHeight="1">
      <c r="B19" s="174" t="s">
        <v>6</v>
      </c>
      <c r="C19" s="176" t="s">
        <v>108</v>
      </c>
      <c r="D19" s="276"/>
      <c r="E19" s="305"/>
    </row>
    <row r="20" spans="2:6" customFormat="1" ht="13.5" thickBot="1">
      <c r="B20" s="179" t="s">
        <v>8</v>
      </c>
      <c r="C20" s="180" t="s">
        <v>14</v>
      </c>
      <c r="D20" s="245"/>
      <c r="E20" s="246"/>
    </row>
    <row r="21" spans="2:6" customFormat="1" ht="13.5" thickBot="1">
      <c r="B21" s="367" t="s">
        <v>110</v>
      </c>
      <c r="C21" s="368"/>
      <c r="D21" s="247"/>
      <c r="E21" s="148"/>
      <c r="F21" s="77"/>
    </row>
    <row r="22" spans="2:6" customFormat="1">
      <c r="B22" s="3"/>
      <c r="C22" s="7"/>
      <c r="D22" s="8"/>
      <c r="E22" s="8"/>
    </row>
    <row r="23" spans="2:6" customFormat="1" ht="13.5">
      <c r="B23" s="361" t="s">
        <v>104</v>
      </c>
      <c r="C23" s="371"/>
      <c r="D23" s="371"/>
      <c r="E23" s="371"/>
    </row>
    <row r="24" spans="2:6" customFormat="1" ht="15.75" customHeight="1" thickBot="1">
      <c r="B24" s="360" t="s">
        <v>105</v>
      </c>
      <c r="C24" s="372"/>
      <c r="D24" s="372"/>
      <c r="E24" s="372"/>
    </row>
    <row r="25" spans="2:6" customFormat="1" ht="13.5" thickBot="1">
      <c r="B25" s="214"/>
      <c r="C25" s="181" t="s">
        <v>2</v>
      </c>
      <c r="D25" s="70" t="s">
        <v>125</v>
      </c>
      <c r="E25" s="319" t="s">
        <v>268</v>
      </c>
    </row>
    <row r="26" spans="2:6" customFormat="1">
      <c r="B26" s="95" t="s">
        <v>15</v>
      </c>
      <c r="C26" s="96" t="s">
        <v>16</v>
      </c>
      <c r="D26" s="201">
        <v>30289.21</v>
      </c>
      <c r="E26" s="231"/>
    </row>
    <row r="27" spans="2:6" customFormat="1">
      <c r="B27" s="9" t="s">
        <v>17</v>
      </c>
      <c r="C27" s="10" t="s">
        <v>111</v>
      </c>
      <c r="D27" s="202">
        <v>-31198.41</v>
      </c>
      <c r="E27" s="224"/>
      <c r="F27" s="71"/>
    </row>
    <row r="28" spans="2:6" customFormat="1">
      <c r="B28" s="9" t="s">
        <v>18</v>
      </c>
      <c r="C28" s="10" t="s">
        <v>19</v>
      </c>
      <c r="D28" s="202">
        <v>0</v>
      </c>
      <c r="E28" s="225"/>
      <c r="F28" s="71"/>
    </row>
    <row r="29" spans="2:6" customFormat="1">
      <c r="B29" s="182" t="s">
        <v>4</v>
      </c>
      <c r="C29" s="175" t="s">
        <v>20</v>
      </c>
      <c r="D29" s="203"/>
      <c r="E29" s="226"/>
      <c r="F29" s="71"/>
    </row>
    <row r="30" spans="2:6" customFormat="1">
      <c r="B30" s="182" t="s">
        <v>6</v>
      </c>
      <c r="C30" s="175" t="s">
        <v>21</v>
      </c>
      <c r="D30" s="203"/>
      <c r="E30" s="226"/>
      <c r="F30" s="71"/>
    </row>
    <row r="31" spans="2:6" customFormat="1">
      <c r="B31" s="182" t="s">
        <v>8</v>
      </c>
      <c r="C31" s="175" t="s">
        <v>22</v>
      </c>
      <c r="D31" s="203"/>
      <c r="E31" s="226"/>
      <c r="F31" s="71"/>
    </row>
    <row r="32" spans="2:6" customFormat="1">
      <c r="B32" s="92" t="s">
        <v>23</v>
      </c>
      <c r="C32" s="11" t="s">
        <v>24</v>
      </c>
      <c r="D32" s="202">
        <v>31198.41</v>
      </c>
      <c r="E32" s="225"/>
      <c r="F32" s="71"/>
    </row>
    <row r="33" spans="2:6" customFormat="1">
      <c r="B33" s="182" t="s">
        <v>4</v>
      </c>
      <c r="C33" s="175" t="s">
        <v>25</v>
      </c>
      <c r="D33" s="203"/>
      <c r="E33" s="226"/>
      <c r="F33" s="71"/>
    </row>
    <row r="34" spans="2:6" customFormat="1">
      <c r="B34" s="182" t="s">
        <v>6</v>
      </c>
      <c r="C34" s="175" t="s">
        <v>26</v>
      </c>
      <c r="D34" s="203"/>
      <c r="E34" s="226"/>
      <c r="F34" s="71"/>
    </row>
    <row r="35" spans="2:6" customFormat="1">
      <c r="B35" s="182" t="s">
        <v>8</v>
      </c>
      <c r="C35" s="175" t="s">
        <v>27</v>
      </c>
      <c r="D35" s="203">
        <v>7.67</v>
      </c>
      <c r="E35" s="226"/>
      <c r="F35" s="71"/>
    </row>
    <row r="36" spans="2:6" customFormat="1">
      <c r="B36" s="182" t="s">
        <v>9</v>
      </c>
      <c r="C36" s="175" t="s">
        <v>28</v>
      </c>
      <c r="D36" s="203"/>
      <c r="E36" s="226"/>
      <c r="F36" s="71"/>
    </row>
    <row r="37" spans="2:6" customFormat="1" ht="25.5">
      <c r="B37" s="182" t="s">
        <v>29</v>
      </c>
      <c r="C37" s="175" t="s">
        <v>30</v>
      </c>
      <c r="D37" s="203"/>
      <c r="E37" s="226"/>
      <c r="F37" s="71"/>
    </row>
    <row r="38" spans="2:6" customFormat="1">
      <c r="B38" s="182" t="s">
        <v>31</v>
      </c>
      <c r="C38" s="175" t="s">
        <v>32</v>
      </c>
      <c r="D38" s="203"/>
      <c r="E38" s="226"/>
      <c r="F38" s="71"/>
    </row>
    <row r="39" spans="2:6" customFormat="1">
      <c r="B39" s="183" t="s">
        <v>33</v>
      </c>
      <c r="C39" s="184" t="s">
        <v>34</v>
      </c>
      <c r="D39" s="204">
        <v>31190.74</v>
      </c>
      <c r="E39" s="227"/>
      <c r="F39" s="71"/>
    </row>
    <row r="40" spans="2:6" customFormat="1" ht="13.5" thickBot="1">
      <c r="B40" s="97" t="s">
        <v>35</v>
      </c>
      <c r="C40" s="98" t="s">
        <v>36</v>
      </c>
      <c r="D40" s="205">
        <v>909.2</v>
      </c>
      <c r="E40" s="232"/>
    </row>
    <row r="41" spans="2:6" customFormat="1" ht="13.5" thickBot="1">
      <c r="B41" s="99" t="s">
        <v>37</v>
      </c>
      <c r="C41" s="100" t="s">
        <v>38</v>
      </c>
      <c r="D41" s="206">
        <v>0</v>
      </c>
      <c r="E41" s="148"/>
      <c r="F41" s="77"/>
    </row>
    <row r="42" spans="2:6" customFormat="1">
      <c r="B42" s="93"/>
      <c r="C42" s="93"/>
      <c r="D42" s="94"/>
      <c r="E42" s="94"/>
      <c r="F42" s="77"/>
    </row>
    <row r="43" spans="2:6" customFormat="1" ht="13.5">
      <c r="B43" s="362" t="s">
        <v>60</v>
      </c>
      <c r="C43" s="374"/>
      <c r="D43" s="374"/>
      <c r="E43" s="374"/>
    </row>
    <row r="44" spans="2:6" customFormat="1" ht="18" customHeight="1" thickBot="1">
      <c r="B44" s="360" t="s">
        <v>121</v>
      </c>
      <c r="C44" s="373"/>
      <c r="D44" s="373"/>
      <c r="E44" s="373"/>
    </row>
    <row r="45" spans="2:6" customFormat="1" ht="13.5" thickBot="1">
      <c r="B45" s="214"/>
      <c r="C45" s="29" t="s">
        <v>39</v>
      </c>
      <c r="D45" s="70" t="s">
        <v>125</v>
      </c>
      <c r="E45" s="319" t="s">
        <v>268</v>
      </c>
    </row>
    <row r="46" spans="2:6" customFormat="1">
      <c r="B46" s="13" t="s">
        <v>18</v>
      </c>
      <c r="C46" s="30" t="s">
        <v>112</v>
      </c>
      <c r="D46" s="101"/>
      <c r="E46" s="28"/>
    </row>
    <row r="47" spans="2:6" customFormat="1">
      <c r="B47" s="185" t="s">
        <v>4</v>
      </c>
      <c r="C47" s="186" t="s">
        <v>40</v>
      </c>
      <c r="D47" s="207">
        <v>239.8955</v>
      </c>
      <c r="E47" s="149"/>
    </row>
    <row r="48" spans="2:6" customFormat="1">
      <c r="B48" s="187" t="s">
        <v>6</v>
      </c>
      <c r="C48" s="188" t="s">
        <v>41</v>
      </c>
      <c r="D48" s="207">
        <v>0</v>
      </c>
      <c r="E48" s="149"/>
    </row>
    <row r="49" spans="2:5" customFormat="1">
      <c r="B49" s="120" t="s">
        <v>23</v>
      </c>
      <c r="C49" s="124" t="s">
        <v>113</v>
      </c>
      <c r="D49" s="208"/>
      <c r="E49" s="149"/>
    </row>
    <row r="50" spans="2:5" customFormat="1">
      <c r="B50" s="185" t="s">
        <v>4</v>
      </c>
      <c r="C50" s="186" t="s">
        <v>40</v>
      </c>
      <c r="D50" s="207">
        <v>126.26</v>
      </c>
      <c r="E50" s="149"/>
    </row>
    <row r="51" spans="2:5" customFormat="1">
      <c r="B51" s="185" t="s">
        <v>6</v>
      </c>
      <c r="C51" s="186" t="s">
        <v>114</v>
      </c>
      <c r="D51" s="207">
        <v>122.14</v>
      </c>
      <c r="E51" s="75"/>
    </row>
    <row r="52" spans="2:5" customFormat="1">
      <c r="B52" s="185" t="s">
        <v>8</v>
      </c>
      <c r="C52" s="186" t="s">
        <v>115</v>
      </c>
      <c r="D52" s="207">
        <v>134.94</v>
      </c>
      <c r="E52" s="75"/>
    </row>
    <row r="53" spans="2:5" customFormat="1" ht="13.5" thickBot="1">
      <c r="B53" s="189" t="s">
        <v>9</v>
      </c>
      <c r="C53" s="190" t="s">
        <v>41</v>
      </c>
      <c r="D53" s="209">
        <v>0</v>
      </c>
      <c r="E53" s="233"/>
    </row>
    <row r="54" spans="2:5" customFormat="1">
      <c r="B54" s="109"/>
      <c r="C54" s="110"/>
      <c r="D54" s="111"/>
      <c r="E54" s="111"/>
    </row>
    <row r="55" spans="2:5" customFormat="1" ht="13.5">
      <c r="B55" s="362" t="s">
        <v>62</v>
      </c>
      <c r="C55" s="363"/>
      <c r="D55" s="363"/>
      <c r="E55" s="363"/>
    </row>
    <row r="56" spans="2:5" customFormat="1" ht="14.25" thickBot="1">
      <c r="B56" s="360" t="s">
        <v>116</v>
      </c>
      <c r="C56" s="364"/>
      <c r="D56" s="364"/>
      <c r="E56" s="364"/>
    </row>
    <row r="57" spans="2:5" customFormat="1" ht="23.25" thickBot="1">
      <c r="B57" s="355" t="s">
        <v>42</v>
      </c>
      <c r="C57" s="356"/>
      <c r="D57" s="18" t="s">
        <v>122</v>
      </c>
      <c r="E57" s="19" t="s">
        <v>117</v>
      </c>
    </row>
    <row r="58" spans="2:5" customFormat="1">
      <c r="B58" s="20" t="s">
        <v>18</v>
      </c>
      <c r="C58" s="126" t="s">
        <v>43</v>
      </c>
      <c r="D58" s="127">
        <v>0</v>
      </c>
      <c r="E58" s="31">
        <v>0</v>
      </c>
    </row>
    <row r="59" spans="2:5" customFormat="1" ht="25.5">
      <c r="B59" s="123" t="s">
        <v>4</v>
      </c>
      <c r="C59" s="22" t="s">
        <v>44</v>
      </c>
      <c r="D59" s="80">
        <v>0</v>
      </c>
      <c r="E59" s="81">
        <v>0</v>
      </c>
    </row>
    <row r="60" spans="2:5" customFormat="1" ht="25.5">
      <c r="B60" s="102" t="s">
        <v>6</v>
      </c>
      <c r="C60" s="15" t="s">
        <v>45</v>
      </c>
      <c r="D60" s="78">
        <v>0</v>
      </c>
      <c r="E60" s="79">
        <v>0</v>
      </c>
    </row>
    <row r="61" spans="2:5" customFormat="1">
      <c r="B61" s="102" t="s">
        <v>8</v>
      </c>
      <c r="C61" s="15" t="s">
        <v>46</v>
      </c>
      <c r="D61" s="78">
        <v>0</v>
      </c>
      <c r="E61" s="79">
        <v>0</v>
      </c>
    </row>
    <row r="62" spans="2:5" customFormat="1">
      <c r="B62" s="102" t="s">
        <v>9</v>
      </c>
      <c r="C62" s="15" t="s">
        <v>47</v>
      </c>
      <c r="D62" s="78">
        <v>0</v>
      </c>
      <c r="E62" s="79">
        <v>0</v>
      </c>
    </row>
    <row r="63" spans="2:5" customFormat="1">
      <c r="B63" s="102" t="s">
        <v>29</v>
      </c>
      <c r="C63" s="15" t="s">
        <v>48</v>
      </c>
      <c r="D63" s="78">
        <v>0</v>
      </c>
      <c r="E63" s="79">
        <v>0</v>
      </c>
    </row>
    <row r="64" spans="2:5" customFormat="1">
      <c r="B64" s="123" t="s">
        <v>31</v>
      </c>
      <c r="C64" s="22" t="s">
        <v>49</v>
      </c>
      <c r="D64" s="80">
        <v>0</v>
      </c>
      <c r="E64" s="81">
        <f>E58</f>
        <v>0</v>
      </c>
    </row>
    <row r="65" spans="2:5" customFormat="1">
      <c r="B65" s="123" t="s">
        <v>33</v>
      </c>
      <c r="C65" s="22" t="s">
        <v>118</v>
      </c>
      <c r="D65" s="80">
        <v>0</v>
      </c>
      <c r="E65" s="81">
        <v>0</v>
      </c>
    </row>
    <row r="66" spans="2:5" customFormat="1">
      <c r="B66" s="123" t="s">
        <v>50</v>
      </c>
      <c r="C66" s="22" t="s">
        <v>51</v>
      </c>
      <c r="D66" s="80">
        <v>0</v>
      </c>
      <c r="E66" s="81">
        <v>0</v>
      </c>
    </row>
    <row r="67" spans="2:5" customFormat="1">
      <c r="B67" s="102" t="s">
        <v>52</v>
      </c>
      <c r="C67" s="15" t="s">
        <v>53</v>
      </c>
      <c r="D67" s="78">
        <v>0</v>
      </c>
      <c r="E67" s="79">
        <v>0</v>
      </c>
    </row>
    <row r="68" spans="2:5" customFormat="1">
      <c r="B68" s="102" t="s">
        <v>54</v>
      </c>
      <c r="C68" s="15" t="s">
        <v>55</v>
      </c>
      <c r="D68" s="78">
        <v>0</v>
      </c>
      <c r="E68" s="79">
        <v>0</v>
      </c>
    </row>
    <row r="69" spans="2:5" customFormat="1">
      <c r="B69" s="102" t="s">
        <v>56</v>
      </c>
      <c r="C69" s="15" t="s">
        <v>57</v>
      </c>
      <c r="D69" s="274">
        <v>0</v>
      </c>
      <c r="E69" s="79">
        <v>0</v>
      </c>
    </row>
    <row r="70" spans="2:5" customFormat="1">
      <c r="B70" s="129" t="s">
        <v>58</v>
      </c>
      <c r="C70" s="113" t="s">
        <v>59</v>
      </c>
      <c r="D70" s="114">
        <v>0</v>
      </c>
      <c r="E70" s="115">
        <v>0</v>
      </c>
    </row>
    <row r="71" spans="2:5" customFormat="1">
      <c r="B71" s="130" t="s">
        <v>23</v>
      </c>
      <c r="C71" s="121" t="s">
        <v>61</v>
      </c>
      <c r="D71" s="122">
        <v>0</v>
      </c>
      <c r="E71" s="66">
        <v>0</v>
      </c>
    </row>
    <row r="72" spans="2:5" customFormat="1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 customFormat="1">
      <c r="B73" s="132" t="s">
        <v>62</v>
      </c>
      <c r="C73" s="24" t="s">
        <v>65</v>
      </c>
      <c r="D73" s="25">
        <v>0</v>
      </c>
      <c r="E73" s="26">
        <v>0</v>
      </c>
    </row>
    <row r="74" spans="2:5" customFormat="1">
      <c r="B74" s="130" t="s">
        <v>64</v>
      </c>
      <c r="C74" s="121" t="s">
        <v>66</v>
      </c>
      <c r="D74" s="122">
        <v>0</v>
      </c>
      <c r="E74" s="66">
        <f>E58+E72-E73</f>
        <v>0</v>
      </c>
    </row>
    <row r="75" spans="2:5" customFormat="1">
      <c r="B75" s="102" t="s">
        <v>4</v>
      </c>
      <c r="C75" s="15" t="s">
        <v>67</v>
      </c>
      <c r="D75" s="78">
        <v>0</v>
      </c>
      <c r="E75" s="79">
        <f>E74</f>
        <v>0</v>
      </c>
    </row>
    <row r="76" spans="2:5" customFormat="1">
      <c r="B76" s="102" t="s">
        <v>6</v>
      </c>
      <c r="C76" s="15" t="s">
        <v>119</v>
      </c>
      <c r="D76" s="78">
        <v>0</v>
      </c>
      <c r="E76" s="79">
        <v>0</v>
      </c>
    </row>
    <row r="77" spans="2:5" customFormat="1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 customFormat="1">
      <c r="B78" s="1"/>
      <c r="C78" s="1"/>
      <c r="D78" s="2"/>
      <c r="E78" s="2"/>
    </row>
    <row r="79" spans="2:5" customFormat="1">
      <c r="B79" s="1"/>
      <c r="C79" s="1"/>
      <c r="D79" s="2"/>
      <c r="E79" s="2"/>
    </row>
    <row r="80" spans="2:5" customFormat="1">
      <c r="B80" s="1"/>
      <c r="C80" s="1"/>
      <c r="D80" s="2"/>
      <c r="E80" s="2"/>
    </row>
    <row r="81" spans="2:5" customFormat="1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2"/>
  <dimension ref="A1:G81"/>
  <sheetViews>
    <sheetView zoomScale="80" zoomScaleNormal="80" workbookViewId="0">
      <selection activeCell="J35" sqref="J35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47"/>
      <c r="C4" s="147"/>
      <c r="D4" s="147"/>
      <c r="E4" s="147"/>
    </row>
    <row r="5" spans="2:7" ht="14.25">
      <c r="B5" s="358" t="s">
        <v>1</v>
      </c>
      <c r="C5" s="358"/>
      <c r="D5" s="358"/>
      <c r="E5" s="358"/>
    </row>
    <row r="6" spans="2:7" ht="14.25">
      <c r="B6" s="359" t="s">
        <v>252</v>
      </c>
      <c r="C6" s="359"/>
      <c r="D6" s="359"/>
      <c r="E6" s="359"/>
    </row>
    <row r="7" spans="2:7" ht="14.25">
      <c r="B7" s="153"/>
      <c r="C7" s="153"/>
      <c r="D7" s="153"/>
      <c r="E7" s="153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54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/>
      <c r="E11" s="244"/>
    </row>
    <row r="12" spans="2:7">
      <c r="B12" s="174" t="s">
        <v>4</v>
      </c>
      <c r="C12" s="175" t="s">
        <v>5</v>
      </c>
      <c r="D12" s="283"/>
      <c r="E12" s="304"/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/>
      <c r="E21" s="148"/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3796.47</v>
      </c>
      <c r="E26" s="231"/>
    </row>
    <row r="27" spans="2:6">
      <c r="B27" s="9" t="s">
        <v>17</v>
      </c>
      <c r="C27" s="10" t="s">
        <v>111</v>
      </c>
      <c r="D27" s="202">
        <v>-3558.42</v>
      </c>
      <c r="E27" s="224"/>
      <c r="F27" s="71"/>
    </row>
    <row r="28" spans="2:6">
      <c r="B28" s="9" t="s">
        <v>18</v>
      </c>
      <c r="C28" s="10" t="s">
        <v>19</v>
      </c>
      <c r="D28" s="202">
        <v>0</v>
      </c>
      <c r="E28" s="225"/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/>
      <c r="E31" s="226"/>
      <c r="F31" s="71"/>
    </row>
    <row r="32" spans="2:6">
      <c r="B32" s="92" t="s">
        <v>23</v>
      </c>
      <c r="C32" s="11" t="s">
        <v>24</v>
      </c>
      <c r="D32" s="202">
        <v>3558.42</v>
      </c>
      <c r="E32" s="225"/>
      <c r="F32" s="71"/>
    </row>
    <row r="33" spans="2:6">
      <c r="B33" s="182" t="s">
        <v>4</v>
      </c>
      <c r="C33" s="175" t="s">
        <v>25</v>
      </c>
      <c r="D33" s="203"/>
      <c r="E33" s="226"/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38.92</v>
      </c>
      <c r="E35" s="226"/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37.83</v>
      </c>
      <c r="E37" s="226"/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>
        <v>3481.67</v>
      </c>
      <c r="E39" s="227"/>
      <c r="F39" s="71"/>
    </row>
    <row r="40" spans="2:6" ht="13.5" thickBot="1">
      <c r="B40" s="97" t="s">
        <v>35</v>
      </c>
      <c r="C40" s="98" t="s">
        <v>36</v>
      </c>
      <c r="D40" s="205">
        <v>-238.05</v>
      </c>
      <c r="E40" s="232"/>
    </row>
    <row r="41" spans="2:6" ht="13.5" thickBot="1">
      <c r="B41" s="99" t="s">
        <v>37</v>
      </c>
      <c r="C41" s="100" t="s">
        <v>38</v>
      </c>
      <c r="D41" s="206" t="s">
        <v>123</v>
      </c>
      <c r="E41" s="148"/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29.533000000000001</v>
      </c>
      <c r="E47" s="149"/>
    </row>
    <row r="48" spans="2:6">
      <c r="B48" s="187" t="s">
        <v>6</v>
      </c>
      <c r="C48" s="188" t="s">
        <v>41</v>
      </c>
      <c r="D48" s="207">
        <v>0</v>
      </c>
      <c r="E48" s="149"/>
    </row>
    <row r="49" spans="2:5">
      <c r="B49" s="120" t="s">
        <v>23</v>
      </c>
      <c r="C49" s="124" t="s">
        <v>113</v>
      </c>
      <c r="D49" s="208"/>
      <c r="E49" s="149"/>
    </row>
    <row r="50" spans="2:5">
      <c r="B50" s="185" t="s">
        <v>4</v>
      </c>
      <c r="C50" s="186" t="s">
        <v>40</v>
      </c>
      <c r="D50" s="207">
        <v>128.55000000000001</v>
      </c>
      <c r="E50" s="149"/>
    </row>
    <row r="51" spans="2:5">
      <c r="B51" s="185" t="s">
        <v>6</v>
      </c>
      <c r="C51" s="186" t="s">
        <v>114</v>
      </c>
      <c r="D51" s="207">
        <v>116.72</v>
      </c>
      <c r="E51" s="75"/>
    </row>
    <row r="52" spans="2:5">
      <c r="B52" s="185" t="s">
        <v>8</v>
      </c>
      <c r="C52" s="186" t="s">
        <v>115</v>
      </c>
      <c r="D52" s="207">
        <v>134.51</v>
      </c>
      <c r="E52" s="75"/>
    </row>
    <row r="53" spans="2:5" ht="13.5" thickBot="1">
      <c r="B53" s="189" t="s">
        <v>9</v>
      </c>
      <c r="C53" s="190" t="s">
        <v>41</v>
      </c>
      <c r="D53" s="209">
        <v>0</v>
      </c>
      <c r="E53" s="233"/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4.25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v>0</v>
      </c>
      <c r="E58" s="31">
        <v>0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v>0</v>
      </c>
      <c r="E64" s="81">
        <f>E58</f>
        <v>0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0</v>
      </c>
      <c r="E74" s="66">
        <f>E58+E72-E73</f>
        <v>0</v>
      </c>
    </row>
    <row r="75" spans="2:5">
      <c r="B75" s="102" t="s">
        <v>4</v>
      </c>
      <c r="C75" s="15" t="s">
        <v>67</v>
      </c>
      <c r="D75" s="78">
        <f>D74</f>
        <v>0</v>
      </c>
      <c r="E75" s="79">
        <f>E74</f>
        <v>0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3">
    <pageSetUpPr fitToPage="1"/>
  </sheetPr>
  <dimension ref="A1:G81"/>
  <sheetViews>
    <sheetView zoomScale="80" zoomScaleNormal="80" workbookViewId="0">
      <selection activeCell="G8" sqref="G8:G1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34"/>
      <c r="C4" s="134"/>
      <c r="D4" s="134"/>
      <c r="E4" s="134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284</v>
      </c>
      <c r="C6" s="359"/>
      <c r="D6" s="359"/>
      <c r="E6" s="359"/>
    </row>
    <row r="7" spans="2:7" ht="14.25">
      <c r="B7" s="133"/>
      <c r="C7" s="133"/>
      <c r="D7" s="133"/>
      <c r="E7" s="133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35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1441232.24</v>
      </c>
      <c r="E11" s="244">
        <f>SUM(E12:E14)</f>
        <v>1479329.6</v>
      </c>
    </row>
    <row r="12" spans="2:7">
      <c r="B12" s="174" t="s">
        <v>4</v>
      </c>
      <c r="C12" s="175" t="s">
        <v>5</v>
      </c>
      <c r="D12" s="283">
        <v>1441232.24</v>
      </c>
      <c r="E12" s="304">
        <v>1479329.6</v>
      </c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1441232.24</v>
      </c>
      <c r="E21" s="148">
        <f>E11-E17</f>
        <v>1479329.6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3374933.59</v>
      </c>
      <c r="E26" s="231">
        <f>D21</f>
        <v>1441232.24</v>
      </c>
    </row>
    <row r="27" spans="2:6">
      <c r="B27" s="9" t="s">
        <v>17</v>
      </c>
      <c r="C27" s="10" t="s">
        <v>111</v>
      </c>
      <c r="D27" s="202">
        <v>-1667769.2600000002</v>
      </c>
      <c r="E27" s="224">
        <v>-212135.26</v>
      </c>
      <c r="F27" s="71"/>
    </row>
    <row r="28" spans="2:6">
      <c r="B28" s="9" t="s">
        <v>18</v>
      </c>
      <c r="C28" s="10" t="s">
        <v>19</v>
      </c>
      <c r="D28" s="202">
        <v>0</v>
      </c>
      <c r="E28" s="225">
        <v>538443.17000000004</v>
      </c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/>
      <c r="E31" s="226">
        <v>538443.17000000004</v>
      </c>
      <c r="F31" s="71"/>
    </row>
    <row r="32" spans="2:6">
      <c r="B32" s="92" t="s">
        <v>23</v>
      </c>
      <c r="C32" s="11" t="s">
        <v>24</v>
      </c>
      <c r="D32" s="202">
        <v>1667769.2600000002</v>
      </c>
      <c r="E32" s="225">
        <v>750578.43</v>
      </c>
      <c r="F32" s="71"/>
    </row>
    <row r="33" spans="2:6">
      <c r="B33" s="182" t="s">
        <v>4</v>
      </c>
      <c r="C33" s="175" t="s">
        <v>25</v>
      </c>
      <c r="D33" s="203">
        <v>439942.49</v>
      </c>
      <c r="E33" s="226">
        <v>729561.06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1435.9</v>
      </c>
      <c r="E35" s="226">
        <v>1840.97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46900.51</v>
      </c>
      <c r="E37" s="226">
        <v>19176.400000000001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>
        <v>1179490.3600000001</v>
      </c>
      <c r="E39" s="227"/>
      <c r="F39" s="71"/>
    </row>
    <row r="40" spans="2:6" ht="13.5" thickBot="1">
      <c r="B40" s="97" t="s">
        <v>35</v>
      </c>
      <c r="C40" s="98" t="s">
        <v>36</v>
      </c>
      <c r="D40" s="205">
        <v>-265932.09000000003</v>
      </c>
      <c r="E40" s="232">
        <v>250232.62</v>
      </c>
    </row>
    <row r="41" spans="2:6" ht="13.5" thickBot="1">
      <c r="B41" s="99" t="s">
        <v>37</v>
      </c>
      <c r="C41" s="100" t="s">
        <v>38</v>
      </c>
      <c r="D41" s="206">
        <v>1441232.2399999995</v>
      </c>
      <c r="E41" s="148">
        <f>E26+E27+E40</f>
        <v>1479329.6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6830.0519999999997</v>
      </c>
      <c r="E47" s="149">
        <v>3174.87</v>
      </c>
    </row>
    <row r="48" spans="2:6">
      <c r="B48" s="187" t="s">
        <v>6</v>
      </c>
      <c r="C48" s="188" t="s">
        <v>41</v>
      </c>
      <c r="D48" s="207">
        <v>3174.87</v>
      </c>
      <c r="E48" s="149">
        <v>2653.5059999999999</v>
      </c>
    </row>
    <row r="49" spans="2:5">
      <c r="B49" s="120" t="s">
        <v>23</v>
      </c>
      <c r="C49" s="124" t="s">
        <v>113</v>
      </c>
      <c r="D49" s="208"/>
      <c r="E49" s="149"/>
    </row>
    <row r="50" spans="2:5">
      <c r="B50" s="185" t="s">
        <v>4</v>
      </c>
      <c r="C50" s="186" t="s">
        <v>40</v>
      </c>
      <c r="D50" s="207">
        <v>494.13</v>
      </c>
      <c r="E50" s="149">
        <v>453.95</v>
      </c>
    </row>
    <row r="51" spans="2:5">
      <c r="B51" s="185" t="s">
        <v>6</v>
      </c>
      <c r="C51" s="186" t="s">
        <v>114</v>
      </c>
      <c r="D51" s="207">
        <v>445.02</v>
      </c>
      <c r="E51" s="75">
        <v>448.39</v>
      </c>
    </row>
    <row r="52" spans="2:5">
      <c r="B52" s="185" t="s">
        <v>8</v>
      </c>
      <c r="C52" s="186" t="s">
        <v>115</v>
      </c>
      <c r="D52" s="207">
        <v>518.08000000000004</v>
      </c>
      <c r="E52" s="75">
        <v>564.53</v>
      </c>
    </row>
    <row r="53" spans="2:5" ht="12.75" customHeight="1" thickBot="1">
      <c r="B53" s="189" t="s">
        <v>9</v>
      </c>
      <c r="C53" s="190" t="s">
        <v>41</v>
      </c>
      <c r="D53" s="209">
        <v>453.95</v>
      </c>
      <c r="E53" s="233">
        <v>557.5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8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1479329.6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1479329.6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1479329.6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v>0</v>
      </c>
      <c r="E75" s="79">
        <v>0</v>
      </c>
    </row>
    <row r="76" spans="2:5">
      <c r="B76" s="102" t="s">
        <v>6</v>
      </c>
      <c r="C76" s="15" t="s">
        <v>119</v>
      </c>
      <c r="D76" s="78">
        <f>D74</f>
        <v>1479329.6</v>
      </c>
      <c r="E76" s="79">
        <f>E74</f>
        <v>1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9055118110236227" right="0.74803149606299213" top="0.55118110236220474" bottom="0.6692913385826772" header="0.51181102362204722" footer="0.51181102362204722"/>
  <pageSetup paperSize="9" scale="68" orientation="portrait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4"/>
  <dimension ref="A1:F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134"/>
      <c r="C4" s="134"/>
      <c r="D4" s="134"/>
      <c r="E4" s="134"/>
    </row>
    <row r="5" spans="2:5" ht="21" customHeight="1">
      <c r="B5" s="358" t="s">
        <v>1</v>
      </c>
      <c r="C5" s="358"/>
      <c r="D5" s="358"/>
      <c r="E5" s="358"/>
    </row>
    <row r="6" spans="2:5" ht="14.25">
      <c r="B6" s="359" t="s">
        <v>182</v>
      </c>
      <c r="C6" s="359"/>
      <c r="D6" s="359"/>
      <c r="E6" s="359"/>
    </row>
    <row r="7" spans="2:5" ht="14.25">
      <c r="B7" s="133"/>
      <c r="C7" s="133"/>
      <c r="D7" s="133"/>
      <c r="E7" s="133"/>
    </row>
    <row r="8" spans="2:5" ht="13.5">
      <c r="B8" s="361" t="s">
        <v>18</v>
      </c>
      <c r="C8" s="363"/>
      <c r="D8" s="363"/>
      <c r="E8" s="363"/>
    </row>
    <row r="9" spans="2:5" ht="16.5" thickBot="1">
      <c r="B9" s="360" t="s">
        <v>103</v>
      </c>
      <c r="C9" s="360"/>
      <c r="D9" s="360"/>
      <c r="E9" s="360"/>
    </row>
    <row r="10" spans="2:5" ht="13.5" thickBot="1">
      <c r="B10" s="135"/>
      <c r="C10" s="76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28" t="s">
        <v>109</v>
      </c>
      <c r="D11" s="243">
        <v>11548216.810000001</v>
      </c>
      <c r="E11" s="244">
        <f>SUM(E12:E14)</f>
        <v>13263622.92</v>
      </c>
    </row>
    <row r="12" spans="2:5">
      <c r="B12" s="174" t="s">
        <v>4</v>
      </c>
      <c r="C12" s="175" t="s">
        <v>5</v>
      </c>
      <c r="D12" s="283">
        <v>11548216.810000001</v>
      </c>
      <c r="E12" s="304">
        <v>13263622.92</v>
      </c>
    </row>
    <row r="13" spans="2:5">
      <c r="B13" s="174" t="s">
        <v>6</v>
      </c>
      <c r="C13" s="176" t="s">
        <v>7</v>
      </c>
      <c r="D13" s="276"/>
      <c r="E13" s="305"/>
    </row>
    <row r="14" spans="2:5">
      <c r="B14" s="174" t="s">
        <v>8</v>
      </c>
      <c r="C14" s="176" t="s">
        <v>10</v>
      </c>
      <c r="D14" s="276"/>
      <c r="E14" s="305"/>
    </row>
    <row r="15" spans="2:5">
      <c r="B15" s="174" t="s">
        <v>106</v>
      </c>
      <c r="C15" s="176" t="s">
        <v>11</v>
      </c>
      <c r="D15" s="276"/>
      <c r="E15" s="305"/>
    </row>
    <row r="16" spans="2:5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11548216.810000001</v>
      </c>
      <c r="E21" s="148">
        <f>E11-E17</f>
        <v>13263622.92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13141202.960000001</v>
      </c>
      <c r="E26" s="231">
        <f>D21</f>
        <v>11548216.810000001</v>
      </c>
    </row>
    <row r="27" spans="2:6">
      <c r="B27" s="9" t="s">
        <v>17</v>
      </c>
      <c r="C27" s="10" t="s">
        <v>111</v>
      </c>
      <c r="D27" s="202">
        <v>-1900990.6999999997</v>
      </c>
      <c r="E27" s="224">
        <v>-503707.35</v>
      </c>
      <c r="F27" s="71"/>
    </row>
    <row r="28" spans="2:6">
      <c r="B28" s="9" t="s">
        <v>18</v>
      </c>
      <c r="C28" s="10" t="s">
        <v>19</v>
      </c>
      <c r="D28" s="202">
        <v>122548.08</v>
      </c>
      <c r="E28" s="225">
        <v>0</v>
      </c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>
        <v>122548.08</v>
      </c>
      <c r="E31" s="226"/>
      <c r="F31" s="71"/>
    </row>
    <row r="32" spans="2:6">
      <c r="B32" s="92" t="s">
        <v>23</v>
      </c>
      <c r="C32" s="11" t="s">
        <v>24</v>
      </c>
      <c r="D32" s="202">
        <v>2023538.7799999998</v>
      </c>
      <c r="E32" s="225">
        <v>503707.35</v>
      </c>
      <c r="F32" s="71"/>
    </row>
    <row r="33" spans="2:6">
      <c r="B33" s="182" t="s">
        <v>4</v>
      </c>
      <c r="C33" s="175" t="s">
        <v>25</v>
      </c>
      <c r="D33" s="203">
        <v>650725.07999999996</v>
      </c>
      <c r="E33" s="226">
        <v>74049.179999999993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7724.36</v>
      </c>
      <c r="E35" s="226">
        <v>8096.52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200293.69</v>
      </c>
      <c r="E37" s="226">
        <v>195422.04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>
        <v>1164795.6499999999</v>
      </c>
      <c r="E39" s="227">
        <v>226139.61000000068</v>
      </c>
      <c r="F39" s="71"/>
    </row>
    <row r="40" spans="2:6" ht="13.5" thickBot="1">
      <c r="B40" s="97" t="s">
        <v>35</v>
      </c>
      <c r="C40" s="98" t="s">
        <v>36</v>
      </c>
      <c r="D40" s="205">
        <v>308004.55</v>
      </c>
      <c r="E40" s="232">
        <v>2219113.46</v>
      </c>
    </row>
    <row r="41" spans="2:6" ht="13.5" thickBot="1">
      <c r="B41" s="99" t="s">
        <v>37</v>
      </c>
      <c r="C41" s="100" t="s">
        <v>38</v>
      </c>
      <c r="D41" s="206">
        <v>11548216.810000002</v>
      </c>
      <c r="E41" s="148">
        <f>E26+E27+E40</f>
        <v>13263622.920000002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35443.004999999997</v>
      </c>
      <c r="E47" s="149">
        <v>30429.281999999999</v>
      </c>
    </row>
    <row r="48" spans="2:6">
      <c r="B48" s="187" t="s">
        <v>6</v>
      </c>
      <c r="C48" s="188" t="s">
        <v>41</v>
      </c>
      <c r="D48" s="207">
        <v>30429.281999999999</v>
      </c>
      <c r="E48" s="149">
        <v>29204.093000000001</v>
      </c>
    </row>
    <row r="49" spans="2:5">
      <c r="B49" s="120" t="s">
        <v>23</v>
      </c>
      <c r="C49" s="124" t="s">
        <v>113</v>
      </c>
      <c r="D49" s="208"/>
      <c r="E49" s="149"/>
    </row>
    <row r="50" spans="2:5">
      <c r="B50" s="185" t="s">
        <v>4</v>
      </c>
      <c r="C50" s="186" t="s">
        <v>40</v>
      </c>
      <c r="D50" s="207">
        <v>370.77</v>
      </c>
      <c r="E50" s="149">
        <v>379.51</v>
      </c>
    </row>
    <row r="51" spans="2:5">
      <c r="B51" s="185" t="s">
        <v>6</v>
      </c>
      <c r="C51" s="186" t="s">
        <v>114</v>
      </c>
      <c r="D51" s="207">
        <v>353.19</v>
      </c>
      <c r="E51" s="75">
        <v>374.92</v>
      </c>
    </row>
    <row r="52" spans="2:5">
      <c r="B52" s="185" t="s">
        <v>8</v>
      </c>
      <c r="C52" s="186" t="s">
        <v>115</v>
      </c>
      <c r="D52" s="207">
        <v>435.12</v>
      </c>
      <c r="E52" s="75">
        <v>456.56</v>
      </c>
    </row>
    <row r="53" spans="2:5" ht="14.25" customHeight="1" thickBot="1">
      <c r="B53" s="189" t="s">
        <v>9</v>
      </c>
      <c r="C53" s="190" t="s">
        <v>41</v>
      </c>
      <c r="D53" s="209">
        <v>379.51</v>
      </c>
      <c r="E53" s="233">
        <v>454.17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8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13263622.92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13263622.92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13263622.92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v>0</v>
      </c>
      <c r="E75" s="79">
        <v>0</v>
      </c>
    </row>
    <row r="76" spans="2:5">
      <c r="B76" s="102" t="s">
        <v>6</v>
      </c>
      <c r="C76" s="15" t="s">
        <v>119</v>
      </c>
      <c r="D76" s="78">
        <f>D74</f>
        <v>13263622.92</v>
      </c>
      <c r="E76" s="79">
        <f>E74</f>
        <v>1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5"/>
  <dimension ref="A1:F81"/>
  <sheetViews>
    <sheetView zoomScale="80" zoomScaleNormal="80" workbookViewId="0">
      <selection activeCell="N23" sqref="N23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134"/>
      <c r="C4" s="134"/>
      <c r="D4" s="134"/>
      <c r="E4" s="134"/>
    </row>
    <row r="5" spans="2:5" ht="21" customHeight="1">
      <c r="B5" s="358" t="s">
        <v>1</v>
      </c>
      <c r="C5" s="358"/>
      <c r="D5" s="358"/>
      <c r="E5" s="358"/>
    </row>
    <row r="6" spans="2:5" ht="14.25">
      <c r="B6" s="359" t="s">
        <v>183</v>
      </c>
      <c r="C6" s="359"/>
      <c r="D6" s="359"/>
      <c r="E6" s="359"/>
    </row>
    <row r="7" spans="2:5" ht="14.25">
      <c r="B7" s="133"/>
      <c r="C7" s="133"/>
      <c r="D7" s="133"/>
      <c r="E7" s="133"/>
    </row>
    <row r="8" spans="2:5" ht="13.5">
      <c r="B8" s="361" t="s">
        <v>18</v>
      </c>
      <c r="C8" s="363"/>
      <c r="D8" s="363"/>
      <c r="E8" s="363"/>
    </row>
    <row r="9" spans="2:5" ht="16.5" thickBot="1">
      <c r="B9" s="360" t="s">
        <v>103</v>
      </c>
      <c r="C9" s="360"/>
      <c r="D9" s="360"/>
      <c r="E9" s="360"/>
    </row>
    <row r="10" spans="2:5" ht="13.5" thickBot="1">
      <c r="B10" s="135"/>
      <c r="C10" s="76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28" t="s">
        <v>109</v>
      </c>
      <c r="D11" s="243">
        <v>2683224.23</v>
      </c>
      <c r="E11" s="244">
        <f>SUM(E12:E14)</f>
        <v>113347.15</v>
      </c>
    </row>
    <row r="12" spans="2:5">
      <c r="B12" s="174" t="s">
        <v>4</v>
      </c>
      <c r="C12" s="175" t="s">
        <v>5</v>
      </c>
      <c r="D12" s="283">
        <v>2683224.23</v>
      </c>
      <c r="E12" s="304">
        <v>113347.15</v>
      </c>
    </row>
    <row r="13" spans="2:5">
      <c r="B13" s="174" t="s">
        <v>6</v>
      </c>
      <c r="C13" s="176" t="s">
        <v>7</v>
      </c>
      <c r="D13" s="276"/>
      <c r="E13" s="305"/>
    </row>
    <row r="14" spans="2:5">
      <c r="B14" s="174" t="s">
        <v>8</v>
      </c>
      <c r="C14" s="176" t="s">
        <v>10</v>
      </c>
      <c r="D14" s="276"/>
      <c r="E14" s="305"/>
    </row>
    <row r="15" spans="2:5">
      <c r="B15" s="174" t="s">
        <v>106</v>
      </c>
      <c r="C15" s="176" t="s">
        <v>11</v>
      </c>
      <c r="D15" s="276"/>
      <c r="E15" s="305"/>
    </row>
    <row r="16" spans="2:5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2683224.23</v>
      </c>
      <c r="E21" s="148">
        <f>E11-E17</f>
        <v>113347.15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4299565.83</v>
      </c>
      <c r="E26" s="231">
        <f>D21</f>
        <v>2683224.23</v>
      </c>
    </row>
    <row r="27" spans="2:6">
      <c r="B27" s="9" t="s">
        <v>17</v>
      </c>
      <c r="C27" s="10" t="s">
        <v>111</v>
      </c>
      <c r="D27" s="202">
        <v>-1513663.81</v>
      </c>
      <c r="E27" s="224">
        <v>-2634480.85</v>
      </c>
      <c r="F27" s="71"/>
    </row>
    <row r="28" spans="2:6">
      <c r="B28" s="9" t="s">
        <v>18</v>
      </c>
      <c r="C28" s="10" t="s">
        <v>19</v>
      </c>
      <c r="D28" s="202">
        <v>0</v>
      </c>
      <c r="E28" s="225">
        <v>0</v>
      </c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/>
      <c r="E31" s="226"/>
      <c r="F31" s="71"/>
    </row>
    <row r="32" spans="2:6">
      <c r="B32" s="92" t="s">
        <v>23</v>
      </c>
      <c r="C32" s="11" t="s">
        <v>24</v>
      </c>
      <c r="D32" s="202">
        <v>1513663.81</v>
      </c>
      <c r="E32" s="225">
        <v>2634480.85</v>
      </c>
      <c r="F32" s="71"/>
    </row>
    <row r="33" spans="2:6">
      <c r="B33" s="182" t="s">
        <v>4</v>
      </c>
      <c r="C33" s="175" t="s">
        <v>25</v>
      </c>
      <c r="D33" s="203">
        <v>573659.92000000004</v>
      </c>
      <c r="E33" s="226">
        <v>107816.82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1088.53</v>
      </c>
      <c r="E35" s="226">
        <v>1646.22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56245.21</v>
      </c>
      <c r="E37" s="226">
        <v>9979.09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>
        <v>882670.15</v>
      </c>
      <c r="E39" s="227">
        <v>2515038.7200000002</v>
      </c>
      <c r="F39" s="71"/>
    </row>
    <row r="40" spans="2:6" ht="13.5" thickBot="1">
      <c r="B40" s="97" t="s">
        <v>35</v>
      </c>
      <c r="C40" s="98" t="s">
        <v>36</v>
      </c>
      <c r="D40" s="205">
        <v>-102677.79</v>
      </c>
      <c r="E40" s="232">
        <v>64603.77</v>
      </c>
    </row>
    <row r="41" spans="2:6" ht="13.5" thickBot="1">
      <c r="B41" s="99" t="s">
        <v>37</v>
      </c>
      <c r="C41" s="100" t="s">
        <v>38</v>
      </c>
      <c r="D41" s="206">
        <v>2683224.23</v>
      </c>
      <c r="E41" s="148">
        <f>E26+E27+E40</f>
        <v>113347.14999999988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10169.987999999999</v>
      </c>
      <c r="E47" s="149">
        <v>6582.0150000000003</v>
      </c>
    </row>
    <row r="48" spans="2:6">
      <c r="B48" s="187" t="s">
        <v>6</v>
      </c>
      <c r="C48" s="188" t="s">
        <v>41</v>
      </c>
      <c r="D48" s="207">
        <v>6582.0150000000003</v>
      </c>
      <c r="E48" s="149">
        <v>266.36700000000002</v>
      </c>
    </row>
    <row r="49" spans="2:5">
      <c r="B49" s="120" t="s">
        <v>23</v>
      </c>
      <c r="C49" s="124" t="s">
        <v>113</v>
      </c>
      <c r="D49" s="208"/>
      <c r="E49" s="149"/>
    </row>
    <row r="50" spans="2:5">
      <c r="B50" s="185" t="s">
        <v>4</v>
      </c>
      <c r="C50" s="186" t="s">
        <v>40</v>
      </c>
      <c r="D50" s="207">
        <v>422.77</v>
      </c>
      <c r="E50" s="149">
        <v>407.66</v>
      </c>
    </row>
    <row r="51" spans="2:5">
      <c r="B51" s="185" t="s">
        <v>6</v>
      </c>
      <c r="C51" s="186" t="s">
        <v>114</v>
      </c>
      <c r="D51" s="207">
        <v>407.64</v>
      </c>
      <c r="E51" s="75">
        <v>407.18</v>
      </c>
    </row>
    <row r="52" spans="2:5">
      <c r="B52" s="185" t="s">
        <v>8</v>
      </c>
      <c r="C52" s="186" t="s">
        <v>115</v>
      </c>
      <c r="D52" s="207">
        <v>425.98</v>
      </c>
      <c r="E52" s="75">
        <v>426.17</v>
      </c>
    </row>
    <row r="53" spans="2:5" ht="13.5" customHeight="1" thickBot="1">
      <c r="B53" s="189" t="s">
        <v>9</v>
      </c>
      <c r="C53" s="190" t="s">
        <v>41</v>
      </c>
      <c r="D53" s="209">
        <v>407.66</v>
      </c>
      <c r="E53" s="233">
        <v>425.53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7.2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113347.15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113347.15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113347.15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v>0</v>
      </c>
      <c r="E75" s="79">
        <v>0</v>
      </c>
    </row>
    <row r="76" spans="2:5">
      <c r="B76" s="102" t="s">
        <v>6</v>
      </c>
      <c r="C76" s="15" t="s">
        <v>119</v>
      </c>
      <c r="D76" s="78">
        <f>D74</f>
        <v>113347.15</v>
      </c>
      <c r="E76" s="79">
        <f>E74</f>
        <v>1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horizontalDpi="90" verticalDpi="9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zoomScale="80" zoomScaleNormal="80" workbookViewId="0">
      <selection activeCell="I7" sqref="I7:I1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147"/>
      <c r="C4" s="147"/>
      <c r="D4" s="147"/>
      <c r="E4" s="147"/>
    </row>
    <row r="5" spans="2:5" ht="21" customHeight="1">
      <c r="B5" s="358" t="s">
        <v>1</v>
      </c>
      <c r="C5" s="358"/>
      <c r="D5" s="358"/>
      <c r="E5" s="358"/>
    </row>
    <row r="6" spans="2:5" ht="14.25">
      <c r="B6" s="359" t="s">
        <v>285</v>
      </c>
      <c r="C6" s="359"/>
      <c r="D6" s="359"/>
      <c r="E6" s="359"/>
    </row>
    <row r="7" spans="2:5" ht="14.25">
      <c r="B7" s="213"/>
      <c r="C7" s="213"/>
      <c r="D7" s="213"/>
      <c r="E7" s="213"/>
    </row>
    <row r="8" spans="2:5" ht="13.5">
      <c r="B8" s="361" t="s">
        <v>18</v>
      </c>
      <c r="C8" s="363"/>
      <c r="D8" s="363"/>
      <c r="E8" s="363"/>
    </row>
    <row r="9" spans="2:5" ht="16.5" thickBot="1">
      <c r="B9" s="360" t="s">
        <v>103</v>
      </c>
      <c r="C9" s="360"/>
      <c r="D9" s="360"/>
      <c r="E9" s="360"/>
    </row>
    <row r="10" spans="2:5" ht="13.5" thickBot="1">
      <c r="B10" s="212"/>
      <c r="C10" s="76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28" t="s">
        <v>109</v>
      </c>
      <c r="D11" s="243">
        <v>51187.75</v>
      </c>
      <c r="E11" s="244">
        <f>SUM(E12:E14)</f>
        <v>50099.44</v>
      </c>
    </row>
    <row r="12" spans="2:5">
      <c r="B12" s="174" t="s">
        <v>4</v>
      </c>
      <c r="C12" s="175" t="s">
        <v>5</v>
      </c>
      <c r="D12" s="283">
        <v>51187.75</v>
      </c>
      <c r="E12" s="304">
        <v>50099.44</v>
      </c>
    </row>
    <row r="13" spans="2:5">
      <c r="B13" s="174" t="s">
        <v>6</v>
      </c>
      <c r="C13" s="176" t="s">
        <v>7</v>
      </c>
      <c r="D13" s="276"/>
      <c r="E13" s="305"/>
    </row>
    <row r="14" spans="2:5">
      <c r="B14" s="174" t="s">
        <v>8</v>
      </c>
      <c r="C14" s="176" t="s">
        <v>10</v>
      </c>
      <c r="D14" s="276"/>
      <c r="E14" s="305"/>
    </row>
    <row r="15" spans="2:5">
      <c r="B15" s="174" t="s">
        <v>106</v>
      </c>
      <c r="C15" s="176" t="s">
        <v>11</v>
      </c>
      <c r="D15" s="276"/>
      <c r="E15" s="305"/>
    </row>
    <row r="16" spans="2:5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51187.75</v>
      </c>
      <c r="E21" s="148">
        <f>E11-E17</f>
        <v>50099.44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18128.2</v>
      </c>
      <c r="E26" s="231">
        <f>D21</f>
        <v>51187.75</v>
      </c>
    </row>
    <row r="27" spans="2:6">
      <c r="B27" s="9" t="s">
        <v>17</v>
      </c>
      <c r="C27" s="10" t="s">
        <v>111</v>
      </c>
      <c r="D27" s="202">
        <v>34699.780000000006</v>
      </c>
      <c r="E27" s="224">
        <v>-1642.9</v>
      </c>
      <c r="F27" s="71"/>
    </row>
    <row r="28" spans="2:6">
      <c r="B28" s="9" t="s">
        <v>18</v>
      </c>
      <c r="C28" s="10" t="s">
        <v>19</v>
      </c>
      <c r="D28" s="202">
        <v>35229.550000000003</v>
      </c>
      <c r="E28" s="225">
        <v>0</v>
      </c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>
        <v>35229.550000000003</v>
      </c>
      <c r="E31" s="226"/>
      <c r="F31" s="71"/>
    </row>
    <row r="32" spans="2:6">
      <c r="B32" s="92" t="s">
        <v>23</v>
      </c>
      <c r="C32" s="11" t="s">
        <v>24</v>
      </c>
      <c r="D32" s="202">
        <v>529.77</v>
      </c>
      <c r="E32" s="225">
        <v>1642.9</v>
      </c>
      <c r="F32" s="71"/>
    </row>
    <row r="33" spans="2:6">
      <c r="B33" s="182" t="s">
        <v>4</v>
      </c>
      <c r="C33" s="175" t="s">
        <v>25</v>
      </c>
      <c r="D33" s="203"/>
      <c r="E33" s="226"/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143.38999999999999</v>
      </c>
      <c r="E35" s="226">
        <v>534.14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386.38</v>
      </c>
      <c r="E37" s="226">
        <v>1083.56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/>
      <c r="E39" s="227">
        <v>25.2</v>
      </c>
      <c r="F39" s="71"/>
    </row>
    <row r="40" spans="2:6" ht="13.5" thickBot="1">
      <c r="B40" s="97" t="s">
        <v>35</v>
      </c>
      <c r="C40" s="98" t="s">
        <v>36</v>
      </c>
      <c r="D40" s="205">
        <v>-1640.23</v>
      </c>
      <c r="E40" s="232">
        <v>554.59</v>
      </c>
    </row>
    <row r="41" spans="2:6" ht="13.5" thickBot="1">
      <c r="B41" s="99" t="s">
        <v>37</v>
      </c>
      <c r="C41" s="100" t="s">
        <v>38</v>
      </c>
      <c r="D41" s="206">
        <v>51187.750000000007</v>
      </c>
      <c r="E41" s="148">
        <f>E26+E27+E40</f>
        <v>50099.439999999995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16.233000000000001</v>
      </c>
      <c r="E47" s="149">
        <v>46.682000000000002</v>
      </c>
    </row>
    <row r="48" spans="2:6">
      <c r="B48" s="187" t="s">
        <v>6</v>
      </c>
      <c r="C48" s="188" t="s">
        <v>41</v>
      </c>
      <c r="D48" s="207">
        <v>46.682000000000002</v>
      </c>
      <c r="E48" s="149">
        <v>45.19</v>
      </c>
    </row>
    <row r="49" spans="2:5">
      <c r="B49" s="120" t="s">
        <v>23</v>
      </c>
      <c r="C49" s="124" t="s">
        <v>113</v>
      </c>
      <c r="D49" s="208"/>
      <c r="E49" s="149"/>
    </row>
    <row r="50" spans="2:5">
      <c r="B50" s="185" t="s">
        <v>4</v>
      </c>
      <c r="C50" s="186" t="s">
        <v>40</v>
      </c>
      <c r="D50" s="207">
        <v>1116.75</v>
      </c>
      <c r="E50" s="149">
        <v>1096.52</v>
      </c>
    </row>
    <row r="51" spans="2:5">
      <c r="B51" s="185" t="s">
        <v>6</v>
      </c>
      <c r="C51" s="186" t="s">
        <v>114</v>
      </c>
      <c r="D51" s="207">
        <v>1074.8599999999999</v>
      </c>
      <c r="E51" s="73">
        <v>1076.8600000000001</v>
      </c>
    </row>
    <row r="52" spans="2:5">
      <c r="B52" s="185" t="s">
        <v>8</v>
      </c>
      <c r="C52" s="186" t="s">
        <v>115</v>
      </c>
      <c r="D52" s="207">
        <v>1183.78</v>
      </c>
      <c r="E52" s="73">
        <v>1152.6300000000001</v>
      </c>
    </row>
    <row r="53" spans="2:5" ht="13.5" customHeight="1" thickBot="1">
      <c r="B53" s="189" t="s">
        <v>9</v>
      </c>
      <c r="C53" s="190" t="s">
        <v>41</v>
      </c>
      <c r="D53" s="209">
        <v>1096.52</v>
      </c>
      <c r="E53" s="271">
        <v>1108.6400000000001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7.2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50099.44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50099.44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50099.44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v>0</v>
      </c>
      <c r="E75" s="79">
        <v>0</v>
      </c>
    </row>
    <row r="76" spans="2:5">
      <c r="B76" s="102" t="s">
        <v>6</v>
      </c>
      <c r="C76" s="15" t="s">
        <v>119</v>
      </c>
      <c r="D76" s="78">
        <f>D74</f>
        <v>50099.44</v>
      </c>
      <c r="E76" s="79">
        <f>E74</f>
        <v>1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6"/>
  <dimension ref="A1:F81"/>
  <sheetViews>
    <sheetView zoomScale="80" zoomScaleNormal="80" workbookViewId="0">
      <selection activeCell="I35" sqref="I35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134"/>
      <c r="C4" s="134"/>
      <c r="D4" s="134"/>
      <c r="E4" s="134"/>
    </row>
    <row r="5" spans="2:5" ht="21" customHeight="1">
      <c r="B5" s="358" t="s">
        <v>1</v>
      </c>
      <c r="C5" s="358"/>
      <c r="D5" s="358"/>
      <c r="E5" s="358"/>
    </row>
    <row r="6" spans="2:5" ht="14.25">
      <c r="B6" s="359" t="s">
        <v>184</v>
      </c>
      <c r="C6" s="359"/>
      <c r="D6" s="359"/>
      <c r="E6" s="359"/>
    </row>
    <row r="7" spans="2:5" ht="14.25">
      <c r="B7" s="133"/>
      <c r="C7" s="133"/>
      <c r="D7" s="133"/>
      <c r="E7" s="133"/>
    </row>
    <row r="8" spans="2:5" ht="13.5">
      <c r="B8" s="361" t="s">
        <v>18</v>
      </c>
      <c r="C8" s="363"/>
      <c r="D8" s="363"/>
      <c r="E8" s="363"/>
    </row>
    <row r="9" spans="2:5" ht="16.5" thickBot="1">
      <c r="B9" s="360" t="s">
        <v>103</v>
      </c>
      <c r="C9" s="360"/>
      <c r="D9" s="360"/>
      <c r="E9" s="360"/>
    </row>
    <row r="10" spans="2:5" ht="13.5" thickBot="1">
      <c r="B10" s="135"/>
      <c r="C10" s="76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28" t="s">
        <v>109</v>
      </c>
      <c r="D11" s="243">
        <v>231251.02</v>
      </c>
      <c r="E11" s="244">
        <f>SUM(E12:E14)</f>
        <v>188189.18</v>
      </c>
    </row>
    <row r="12" spans="2:5">
      <c r="B12" s="174" t="s">
        <v>4</v>
      </c>
      <c r="C12" s="175" t="s">
        <v>5</v>
      </c>
      <c r="D12" s="283">
        <v>231251.02</v>
      </c>
      <c r="E12" s="304">
        <f>188190.93-1.75</f>
        <v>188189.18</v>
      </c>
    </row>
    <row r="13" spans="2:5">
      <c r="B13" s="174" t="s">
        <v>6</v>
      </c>
      <c r="C13" s="176" t="s">
        <v>7</v>
      </c>
      <c r="D13" s="276"/>
      <c r="E13" s="305"/>
    </row>
    <row r="14" spans="2:5">
      <c r="B14" s="174" t="s">
        <v>8</v>
      </c>
      <c r="C14" s="176" t="s">
        <v>10</v>
      </c>
      <c r="D14" s="276"/>
      <c r="E14" s="305"/>
    </row>
    <row r="15" spans="2:5">
      <c r="B15" s="174" t="s">
        <v>106</v>
      </c>
      <c r="C15" s="176" t="s">
        <v>11</v>
      </c>
      <c r="D15" s="276"/>
      <c r="E15" s="305"/>
    </row>
    <row r="16" spans="2:5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231251.02</v>
      </c>
      <c r="E21" s="148">
        <f>E11-E17</f>
        <v>188189.18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430340.52</v>
      </c>
      <c r="E26" s="231">
        <f>D21</f>
        <v>231251.02</v>
      </c>
    </row>
    <row r="27" spans="2:6">
      <c r="B27" s="9" t="s">
        <v>17</v>
      </c>
      <c r="C27" s="10" t="s">
        <v>111</v>
      </c>
      <c r="D27" s="202">
        <v>-150596.82</v>
      </c>
      <c r="E27" s="224">
        <f>E28-E32</f>
        <v>-46692.919999999991</v>
      </c>
      <c r="F27" s="71"/>
    </row>
    <row r="28" spans="2:6">
      <c r="B28" s="9" t="s">
        <v>18</v>
      </c>
      <c r="C28" s="10" t="s">
        <v>19</v>
      </c>
      <c r="D28" s="202">
        <v>11906.519999999999</v>
      </c>
      <c r="E28" s="225">
        <v>18468.260000000002</v>
      </c>
      <c r="F28" s="71"/>
    </row>
    <row r="29" spans="2:6">
      <c r="B29" s="182" t="s">
        <v>4</v>
      </c>
      <c r="C29" s="175" t="s">
        <v>20</v>
      </c>
      <c r="D29" s="203">
        <v>9285.2099999999991</v>
      </c>
      <c r="E29" s="226">
        <v>9695.4699999999993</v>
      </c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>
        <v>2621.31</v>
      </c>
      <c r="E31" s="226">
        <v>8772.7900000000009</v>
      </c>
      <c r="F31" s="71"/>
    </row>
    <row r="32" spans="2:6">
      <c r="B32" s="92" t="s">
        <v>23</v>
      </c>
      <c r="C32" s="11" t="s">
        <v>24</v>
      </c>
      <c r="D32" s="202">
        <v>162503.34</v>
      </c>
      <c r="E32" s="225">
        <f>SUM(E33:E39)</f>
        <v>65161.179999999993</v>
      </c>
      <c r="F32" s="71"/>
    </row>
    <row r="33" spans="2:6">
      <c r="B33" s="182" t="s">
        <v>4</v>
      </c>
      <c r="C33" s="175" t="s">
        <v>25</v>
      </c>
      <c r="D33" s="203">
        <v>102629.44</v>
      </c>
      <c r="E33" s="226">
        <f>52193.94+0.02</f>
        <v>52193.96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1016.33</v>
      </c>
      <c r="E35" s="226">
        <v>882.92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5561.2</v>
      </c>
      <c r="E37" s="226">
        <v>3699.77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>
        <v>53296.37</v>
      </c>
      <c r="E39" s="227">
        <v>8384.5300000000025</v>
      </c>
      <c r="F39" s="71"/>
    </row>
    <row r="40" spans="2:6" ht="13.5" thickBot="1">
      <c r="B40" s="97" t="s">
        <v>35</v>
      </c>
      <c r="C40" s="98" t="s">
        <v>36</v>
      </c>
      <c r="D40" s="205">
        <v>-48492.68</v>
      </c>
      <c r="E40" s="232">
        <v>3631.08</v>
      </c>
    </row>
    <row r="41" spans="2:6" ht="13.5" thickBot="1">
      <c r="B41" s="99" t="s">
        <v>37</v>
      </c>
      <c r="C41" s="100" t="s">
        <v>38</v>
      </c>
      <c r="D41" s="206">
        <v>231251.02000000002</v>
      </c>
      <c r="E41" s="148">
        <f>E26+E27+E40</f>
        <v>188189.18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1055.37699</v>
      </c>
      <c r="E47" s="149">
        <v>670.11800000000005</v>
      </c>
    </row>
    <row r="48" spans="2:6">
      <c r="B48" s="187" t="s">
        <v>6</v>
      </c>
      <c r="C48" s="188" t="s">
        <v>41</v>
      </c>
      <c r="D48" s="207">
        <v>670.11800000000005</v>
      </c>
      <c r="E48" s="149">
        <v>538.46799999999996</v>
      </c>
    </row>
    <row r="49" spans="2:5">
      <c r="B49" s="120" t="s">
        <v>23</v>
      </c>
      <c r="C49" s="124" t="s">
        <v>113</v>
      </c>
      <c r="D49" s="208"/>
      <c r="E49" s="149"/>
    </row>
    <row r="50" spans="2:5">
      <c r="B50" s="185" t="s">
        <v>4</v>
      </c>
      <c r="C50" s="186" t="s">
        <v>40</v>
      </c>
      <c r="D50" s="207">
        <v>407.76</v>
      </c>
      <c r="E50" s="149">
        <v>345.09</v>
      </c>
    </row>
    <row r="51" spans="2:5">
      <c r="B51" s="185" t="s">
        <v>6</v>
      </c>
      <c r="C51" s="186" t="s">
        <v>114</v>
      </c>
      <c r="D51" s="207">
        <v>341.58</v>
      </c>
      <c r="E51" s="149">
        <v>337.76</v>
      </c>
    </row>
    <row r="52" spans="2:5">
      <c r="B52" s="185" t="s">
        <v>8</v>
      </c>
      <c r="C52" s="186" t="s">
        <v>115</v>
      </c>
      <c r="D52" s="207">
        <v>427.16</v>
      </c>
      <c r="E52" s="75">
        <v>367.55</v>
      </c>
    </row>
    <row r="53" spans="2:5" ht="13.5" customHeight="1" thickBot="1">
      <c r="B53" s="189" t="s">
        <v>9</v>
      </c>
      <c r="C53" s="190" t="s">
        <v>41</v>
      </c>
      <c r="D53" s="209">
        <v>345.09</v>
      </c>
      <c r="E53" s="233">
        <v>349.49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7.2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188189.18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188189.18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188189.18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188189.18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7"/>
  <dimension ref="A1:H81"/>
  <sheetViews>
    <sheetView zoomScale="80" zoomScaleNormal="80" workbookViewId="0">
      <selection activeCell="G21" sqref="G2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5.28515625" customWidth="1"/>
    <col min="8" max="8" width="12.42578125" bestFit="1" customWidth="1"/>
  </cols>
  <sheetData>
    <row r="1" spans="2:8">
      <c r="B1" s="1"/>
      <c r="C1" s="1"/>
      <c r="D1" s="2"/>
      <c r="E1" s="2"/>
    </row>
    <row r="2" spans="2:8" ht="15.75">
      <c r="B2" s="357" t="s">
        <v>0</v>
      </c>
      <c r="C2" s="357"/>
      <c r="D2" s="357"/>
      <c r="E2" s="357"/>
      <c r="H2" s="71"/>
    </row>
    <row r="3" spans="2:8" ht="15.75">
      <c r="B3" s="357" t="s">
        <v>267</v>
      </c>
      <c r="C3" s="357"/>
      <c r="D3" s="357"/>
      <c r="E3" s="357"/>
    </row>
    <row r="4" spans="2:8" ht="15">
      <c r="B4" s="134"/>
      <c r="C4" s="134"/>
      <c r="D4" s="134"/>
      <c r="E4" s="134"/>
    </row>
    <row r="5" spans="2:8" ht="21" customHeight="1">
      <c r="B5" s="358" t="s">
        <v>1</v>
      </c>
      <c r="C5" s="358"/>
      <c r="D5" s="358"/>
      <c r="E5" s="358"/>
    </row>
    <row r="6" spans="2:8" ht="14.25">
      <c r="B6" s="359" t="s">
        <v>185</v>
      </c>
      <c r="C6" s="359"/>
      <c r="D6" s="359"/>
      <c r="E6" s="359"/>
    </row>
    <row r="7" spans="2:8" ht="14.25">
      <c r="B7" s="133"/>
      <c r="C7" s="133"/>
      <c r="D7" s="133"/>
      <c r="E7" s="133"/>
    </row>
    <row r="8" spans="2:8" ht="13.5">
      <c r="B8" s="361" t="s">
        <v>18</v>
      </c>
      <c r="C8" s="363"/>
      <c r="D8" s="363"/>
      <c r="E8" s="363"/>
    </row>
    <row r="9" spans="2:8" ht="16.5" thickBot="1">
      <c r="B9" s="360" t="s">
        <v>103</v>
      </c>
      <c r="C9" s="360"/>
      <c r="D9" s="360"/>
      <c r="E9" s="360"/>
    </row>
    <row r="10" spans="2:8" ht="13.5" thickBot="1">
      <c r="B10" s="135"/>
      <c r="C10" s="76" t="s">
        <v>2</v>
      </c>
      <c r="D10" s="70" t="s">
        <v>125</v>
      </c>
      <c r="E10" s="319" t="s">
        <v>268</v>
      </c>
    </row>
    <row r="11" spans="2:8">
      <c r="B11" s="90" t="s">
        <v>3</v>
      </c>
      <c r="C11" s="128" t="s">
        <v>109</v>
      </c>
      <c r="D11" s="243">
        <v>767355.0199999999</v>
      </c>
      <c r="E11" s="244">
        <f>SUM(E12:E14)</f>
        <v>639999.86</v>
      </c>
    </row>
    <row r="12" spans="2:8">
      <c r="B12" s="174" t="s">
        <v>4</v>
      </c>
      <c r="C12" s="175" t="s">
        <v>5</v>
      </c>
      <c r="D12" s="283">
        <v>767355.0199999999</v>
      </c>
      <c r="E12" s="304">
        <f>640908.32-908.46</f>
        <v>639999.86</v>
      </c>
    </row>
    <row r="13" spans="2:8">
      <c r="B13" s="174" t="s">
        <v>6</v>
      </c>
      <c r="C13" s="176" t="s">
        <v>7</v>
      </c>
      <c r="D13" s="276"/>
      <c r="E13" s="305"/>
    </row>
    <row r="14" spans="2:8">
      <c r="B14" s="174" t="s">
        <v>8</v>
      </c>
      <c r="C14" s="176" t="s">
        <v>10</v>
      </c>
      <c r="D14" s="276"/>
      <c r="E14" s="305"/>
    </row>
    <row r="15" spans="2:8">
      <c r="B15" s="174" t="s">
        <v>106</v>
      </c>
      <c r="C15" s="176" t="s">
        <v>11</v>
      </c>
      <c r="D15" s="276"/>
      <c r="E15" s="305"/>
    </row>
    <row r="16" spans="2:8">
      <c r="B16" s="177" t="s">
        <v>107</v>
      </c>
      <c r="C16" s="178" t="s">
        <v>12</v>
      </c>
      <c r="D16" s="278"/>
      <c r="E16" s="306"/>
    </row>
    <row r="17" spans="2:7">
      <c r="B17" s="9" t="s">
        <v>13</v>
      </c>
      <c r="C17" s="11" t="s">
        <v>65</v>
      </c>
      <c r="D17" s="279"/>
      <c r="E17" s="307"/>
    </row>
    <row r="18" spans="2:7">
      <c r="B18" s="174" t="s">
        <v>4</v>
      </c>
      <c r="C18" s="175" t="s">
        <v>11</v>
      </c>
      <c r="D18" s="278"/>
      <c r="E18" s="306"/>
    </row>
    <row r="19" spans="2:7" ht="15" customHeight="1">
      <c r="B19" s="174" t="s">
        <v>6</v>
      </c>
      <c r="C19" s="176" t="s">
        <v>108</v>
      </c>
      <c r="D19" s="276"/>
      <c r="E19" s="305"/>
    </row>
    <row r="20" spans="2:7" ht="13.5" thickBot="1">
      <c r="B20" s="179" t="s">
        <v>8</v>
      </c>
      <c r="C20" s="180" t="s">
        <v>14</v>
      </c>
      <c r="D20" s="245"/>
      <c r="E20" s="246"/>
    </row>
    <row r="21" spans="2:7" ht="13.5" thickBot="1">
      <c r="B21" s="367" t="s">
        <v>110</v>
      </c>
      <c r="C21" s="368"/>
      <c r="D21" s="247">
        <v>767355.0199999999</v>
      </c>
      <c r="E21" s="148">
        <f>E11-E17</f>
        <v>639999.86</v>
      </c>
      <c r="F21" s="77"/>
      <c r="G21" s="67"/>
    </row>
    <row r="22" spans="2:7">
      <c r="B22" s="3"/>
      <c r="C22" s="7"/>
      <c r="D22" s="8"/>
      <c r="E22" s="8"/>
      <c r="G22" s="67"/>
    </row>
    <row r="23" spans="2:7" ht="13.5">
      <c r="B23" s="361" t="s">
        <v>104</v>
      </c>
      <c r="C23" s="371"/>
      <c r="D23" s="371"/>
      <c r="E23" s="371"/>
    </row>
    <row r="24" spans="2:7" ht="15.75" customHeight="1" thickBot="1">
      <c r="B24" s="360" t="s">
        <v>105</v>
      </c>
      <c r="C24" s="372"/>
      <c r="D24" s="372"/>
      <c r="E24" s="372"/>
    </row>
    <row r="25" spans="2:7" ht="13.5" thickBot="1">
      <c r="B25" s="214"/>
      <c r="C25" s="181" t="s">
        <v>2</v>
      </c>
      <c r="D25" s="70" t="s">
        <v>125</v>
      </c>
      <c r="E25" s="319" t="s">
        <v>268</v>
      </c>
    </row>
    <row r="26" spans="2:7">
      <c r="B26" s="95" t="s">
        <v>15</v>
      </c>
      <c r="C26" s="96" t="s">
        <v>16</v>
      </c>
      <c r="D26" s="201">
        <v>1745381.86</v>
      </c>
      <c r="E26" s="231">
        <f>D21</f>
        <v>767355.0199999999</v>
      </c>
    </row>
    <row r="27" spans="2:7">
      <c r="B27" s="9" t="s">
        <v>17</v>
      </c>
      <c r="C27" s="10" t="s">
        <v>111</v>
      </c>
      <c r="D27" s="202">
        <v>-995256.48999999987</v>
      </c>
      <c r="E27" s="224">
        <f>E28-E32</f>
        <v>-147218.66000000003</v>
      </c>
      <c r="F27" s="71"/>
    </row>
    <row r="28" spans="2:7">
      <c r="B28" s="9" t="s">
        <v>18</v>
      </c>
      <c r="C28" s="10" t="s">
        <v>19</v>
      </c>
      <c r="D28" s="202">
        <v>34856.04</v>
      </c>
      <c r="E28" s="225">
        <v>23078.89</v>
      </c>
      <c r="F28" s="71"/>
    </row>
    <row r="29" spans="2:7">
      <c r="B29" s="182" t="s">
        <v>4</v>
      </c>
      <c r="C29" s="175" t="s">
        <v>20</v>
      </c>
      <c r="D29" s="203">
        <v>9756.7800000000007</v>
      </c>
      <c r="E29" s="226">
        <v>8642.84</v>
      </c>
      <c r="F29" s="71"/>
    </row>
    <row r="30" spans="2:7">
      <c r="B30" s="182" t="s">
        <v>6</v>
      </c>
      <c r="C30" s="175" t="s">
        <v>21</v>
      </c>
      <c r="D30" s="203"/>
      <c r="E30" s="226"/>
      <c r="F30" s="71"/>
    </row>
    <row r="31" spans="2:7">
      <c r="B31" s="182" t="s">
        <v>8</v>
      </c>
      <c r="C31" s="175" t="s">
        <v>22</v>
      </c>
      <c r="D31" s="203">
        <v>25099.26</v>
      </c>
      <c r="E31" s="226">
        <v>14436.05</v>
      </c>
      <c r="F31" s="71"/>
    </row>
    <row r="32" spans="2:7">
      <c r="B32" s="92" t="s">
        <v>23</v>
      </c>
      <c r="C32" s="11" t="s">
        <v>24</v>
      </c>
      <c r="D32" s="202">
        <v>1030112.5299999999</v>
      </c>
      <c r="E32" s="225">
        <f>SUM(E33:E39)</f>
        <v>170297.55000000002</v>
      </c>
      <c r="F32" s="71"/>
    </row>
    <row r="33" spans="2:6">
      <c r="B33" s="182" t="s">
        <v>4</v>
      </c>
      <c r="C33" s="175" t="s">
        <v>25</v>
      </c>
      <c r="D33" s="203">
        <v>987014.91</v>
      </c>
      <c r="E33" s="226">
        <f>150728.91-3168.96</f>
        <v>147559.95000000001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1545.23</v>
      </c>
      <c r="E35" s="226">
        <v>1206.79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16739.95</v>
      </c>
      <c r="E37" s="226">
        <v>12501.88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>
        <v>24812.44</v>
      </c>
      <c r="E39" s="227">
        <v>9028.93</v>
      </c>
      <c r="F39" s="71"/>
    </row>
    <row r="40" spans="2:6" ht="13.5" thickBot="1">
      <c r="B40" s="97" t="s">
        <v>35</v>
      </c>
      <c r="C40" s="98" t="s">
        <v>36</v>
      </c>
      <c r="D40" s="205">
        <v>17229.650000000001</v>
      </c>
      <c r="E40" s="232">
        <v>19863.5</v>
      </c>
    </row>
    <row r="41" spans="2:6" ht="13.5" thickBot="1">
      <c r="B41" s="99" t="s">
        <v>37</v>
      </c>
      <c r="C41" s="100" t="s">
        <v>38</v>
      </c>
      <c r="D41" s="206">
        <v>767355.02000000025</v>
      </c>
      <c r="E41" s="148">
        <f>E26+E27+E40</f>
        <v>639999.85999999987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6167.6450000000004</v>
      </c>
      <c r="E47" s="149">
        <v>2640.9520200000002</v>
      </c>
    </row>
    <row r="48" spans="2:6">
      <c r="B48" s="187" t="s">
        <v>6</v>
      </c>
      <c r="C48" s="188" t="s">
        <v>41</v>
      </c>
      <c r="D48" s="207">
        <v>2640.9520200000002</v>
      </c>
      <c r="E48" s="149">
        <v>2143.0480000000002</v>
      </c>
    </row>
    <row r="49" spans="2:5">
      <c r="B49" s="120" t="s">
        <v>23</v>
      </c>
      <c r="C49" s="124" t="s">
        <v>113</v>
      </c>
      <c r="D49" s="208"/>
      <c r="E49" s="149"/>
    </row>
    <row r="50" spans="2:5">
      <c r="B50" s="185" t="s">
        <v>4</v>
      </c>
      <c r="C50" s="186" t="s">
        <v>40</v>
      </c>
      <c r="D50" s="207">
        <v>282.99</v>
      </c>
      <c r="E50" s="149">
        <v>290.56</v>
      </c>
    </row>
    <row r="51" spans="2:5">
      <c r="B51" s="185" t="s">
        <v>6</v>
      </c>
      <c r="C51" s="186" t="s">
        <v>114</v>
      </c>
      <c r="D51" s="207">
        <v>281.64999999999998</v>
      </c>
      <c r="E51" s="75">
        <v>289.67</v>
      </c>
    </row>
    <row r="52" spans="2:5">
      <c r="B52" s="185" t="s">
        <v>8</v>
      </c>
      <c r="C52" s="186" t="s">
        <v>115</v>
      </c>
      <c r="D52" s="207">
        <v>290.56</v>
      </c>
      <c r="E52" s="75">
        <v>301.7</v>
      </c>
    </row>
    <row r="53" spans="2:5" ht="14.25" customHeight="1" thickBot="1">
      <c r="B53" s="189" t="s">
        <v>9</v>
      </c>
      <c r="C53" s="190" t="s">
        <v>41</v>
      </c>
      <c r="D53" s="209">
        <v>290.56</v>
      </c>
      <c r="E53" s="233">
        <v>298.64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6.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639999.86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639999.86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639999.86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639999.86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5000000000000004" right="0.75" top="0.56000000000000005" bottom="0.47" header="0.5" footer="0.5"/>
  <pageSetup paperSize="9" scale="70" orientation="portrait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8"/>
  <dimension ref="A1:F81"/>
  <sheetViews>
    <sheetView zoomScale="80" zoomScaleNormal="80" workbookViewId="0">
      <selection activeCell="G1" sqref="G1:O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138"/>
      <c r="C4" s="138"/>
      <c r="D4" s="138"/>
      <c r="E4" s="138"/>
    </row>
    <row r="5" spans="2:5" ht="21" customHeight="1">
      <c r="B5" s="358" t="s">
        <v>1</v>
      </c>
      <c r="C5" s="358"/>
      <c r="D5" s="358"/>
      <c r="E5" s="358"/>
    </row>
    <row r="6" spans="2:5" ht="14.25">
      <c r="B6" s="359" t="s">
        <v>253</v>
      </c>
      <c r="C6" s="359"/>
      <c r="D6" s="359"/>
      <c r="E6" s="359"/>
    </row>
    <row r="7" spans="2:5" ht="14.25">
      <c r="B7" s="136"/>
      <c r="C7" s="136"/>
      <c r="D7" s="136"/>
      <c r="E7" s="136"/>
    </row>
    <row r="8" spans="2:5" ht="13.5">
      <c r="B8" s="361" t="s">
        <v>18</v>
      </c>
      <c r="C8" s="363"/>
      <c r="D8" s="363"/>
      <c r="E8" s="363"/>
    </row>
    <row r="9" spans="2:5" ht="16.5" thickBot="1">
      <c r="B9" s="360" t="s">
        <v>103</v>
      </c>
      <c r="C9" s="360"/>
      <c r="D9" s="360"/>
      <c r="E9" s="360"/>
    </row>
    <row r="10" spans="2:5" ht="13.5" thickBot="1">
      <c r="B10" s="137"/>
      <c r="C10" s="76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28" t="s">
        <v>109</v>
      </c>
      <c r="D11" s="243">
        <v>416807.74000000005</v>
      </c>
      <c r="E11" s="244">
        <f>SUM(E12:E14)</f>
        <v>274039.97000000003</v>
      </c>
    </row>
    <row r="12" spans="2:5">
      <c r="B12" s="174" t="s">
        <v>4</v>
      </c>
      <c r="C12" s="175" t="s">
        <v>5</v>
      </c>
      <c r="D12" s="283">
        <v>416807.74000000005</v>
      </c>
      <c r="E12" s="304">
        <f>275723.03-1683.06</f>
        <v>274039.97000000003</v>
      </c>
    </row>
    <row r="13" spans="2:5">
      <c r="B13" s="174" t="s">
        <v>6</v>
      </c>
      <c r="C13" s="176" t="s">
        <v>7</v>
      </c>
      <c r="D13" s="276"/>
      <c r="E13" s="305"/>
    </row>
    <row r="14" spans="2:5">
      <c r="B14" s="174" t="s">
        <v>8</v>
      </c>
      <c r="C14" s="176" t="s">
        <v>10</v>
      </c>
      <c r="D14" s="276"/>
      <c r="E14" s="305"/>
    </row>
    <row r="15" spans="2:5">
      <c r="B15" s="174" t="s">
        <v>106</v>
      </c>
      <c r="C15" s="176" t="s">
        <v>11</v>
      </c>
      <c r="D15" s="276"/>
      <c r="E15" s="305"/>
    </row>
    <row r="16" spans="2:5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416807.74000000005</v>
      </c>
      <c r="E21" s="148">
        <f>E11-E17</f>
        <v>274039.97000000003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430933.32</v>
      </c>
      <c r="E26" s="231">
        <f>D21</f>
        <v>416807.74000000005</v>
      </c>
    </row>
    <row r="27" spans="2:6">
      <c r="B27" s="9" t="s">
        <v>17</v>
      </c>
      <c r="C27" s="10" t="s">
        <v>111</v>
      </c>
      <c r="D27" s="202">
        <v>-22640.229999999981</v>
      </c>
      <c r="E27" s="224">
        <f>E28-E32</f>
        <v>-146832.12</v>
      </c>
      <c r="F27" s="71"/>
    </row>
    <row r="28" spans="2:6">
      <c r="B28" s="9" t="s">
        <v>18</v>
      </c>
      <c r="C28" s="10" t="s">
        <v>19</v>
      </c>
      <c r="D28" s="202">
        <v>149463.92000000001</v>
      </c>
      <c r="E28" s="225">
        <v>26766.45</v>
      </c>
      <c r="F28" s="71"/>
    </row>
    <row r="29" spans="2:6">
      <c r="B29" s="182" t="s">
        <v>4</v>
      </c>
      <c r="C29" s="175" t="s">
        <v>20</v>
      </c>
      <c r="D29" s="203">
        <v>26312.32</v>
      </c>
      <c r="E29" s="226">
        <v>26766.45</v>
      </c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>
        <v>123151.6</v>
      </c>
      <c r="E31" s="226"/>
      <c r="F31" s="71"/>
    </row>
    <row r="32" spans="2:6">
      <c r="B32" s="92" t="s">
        <v>23</v>
      </c>
      <c r="C32" s="11" t="s">
        <v>24</v>
      </c>
      <c r="D32" s="202">
        <v>172104.15</v>
      </c>
      <c r="E32" s="225">
        <f>SUM(E33:E39)</f>
        <v>173598.57</v>
      </c>
      <c r="F32" s="71"/>
    </row>
    <row r="33" spans="2:6">
      <c r="B33" s="182" t="s">
        <v>4</v>
      </c>
      <c r="C33" s="175" t="s">
        <v>25</v>
      </c>
      <c r="D33" s="203">
        <v>159748.70000000001</v>
      </c>
      <c r="E33" s="226">
        <f>191863.63-26205.23</f>
        <v>165658.4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3246.8</v>
      </c>
      <c r="E35" s="226">
        <v>3054.22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6850.24</v>
      </c>
      <c r="E37" s="226">
        <v>4821.37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>
        <v>2258.41</v>
      </c>
      <c r="E39" s="227">
        <v>64.580000000020959</v>
      </c>
      <c r="F39" s="71"/>
    </row>
    <row r="40" spans="2:6" ht="13.5" thickBot="1">
      <c r="B40" s="97" t="s">
        <v>35</v>
      </c>
      <c r="C40" s="98" t="s">
        <v>36</v>
      </c>
      <c r="D40" s="205">
        <v>8514.65</v>
      </c>
      <c r="E40" s="232">
        <v>4064.35</v>
      </c>
    </row>
    <row r="41" spans="2:6" ht="13.5" thickBot="1">
      <c r="B41" s="99" t="s">
        <v>37</v>
      </c>
      <c r="C41" s="100" t="s">
        <v>38</v>
      </c>
      <c r="D41" s="206">
        <v>416807.74000000005</v>
      </c>
      <c r="E41" s="148">
        <f>E26+E27+E40</f>
        <v>274039.97000000003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63"/>
      <c r="D43" s="363"/>
      <c r="E43" s="363"/>
    </row>
    <row r="44" spans="2:6" ht="18" customHeight="1" thickBot="1">
      <c r="B44" s="360" t="s">
        <v>121</v>
      </c>
      <c r="C44" s="364"/>
      <c r="D44" s="364"/>
      <c r="E44" s="364"/>
    </row>
    <row r="45" spans="2:6" ht="13.5" thickBot="1">
      <c r="B45" s="137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7">
        <v>1590.5119999999999</v>
      </c>
      <c r="E47" s="149">
        <v>1509.298</v>
      </c>
    </row>
    <row r="48" spans="2:6">
      <c r="B48" s="123" t="s">
        <v>6</v>
      </c>
      <c r="C48" s="22" t="s">
        <v>41</v>
      </c>
      <c r="D48" s="207">
        <v>1509.298</v>
      </c>
      <c r="E48" s="149">
        <v>978.8889999999999</v>
      </c>
    </row>
    <row r="49" spans="2:5">
      <c r="B49" s="120" t="s">
        <v>23</v>
      </c>
      <c r="C49" s="124" t="s">
        <v>113</v>
      </c>
      <c r="D49" s="208"/>
      <c r="E49" s="149"/>
    </row>
    <row r="50" spans="2:5">
      <c r="B50" s="102" t="s">
        <v>4</v>
      </c>
      <c r="C50" s="15" t="s">
        <v>40</v>
      </c>
      <c r="D50" s="207">
        <v>270.94</v>
      </c>
      <c r="E50" s="149">
        <v>276.16000000000003</v>
      </c>
    </row>
    <row r="51" spans="2:5">
      <c r="B51" s="102" t="s">
        <v>6</v>
      </c>
      <c r="C51" s="15" t="s">
        <v>114</v>
      </c>
      <c r="D51" s="207">
        <v>270.91000000000003</v>
      </c>
      <c r="E51" s="149">
        <v>275.78000000000003</v>
      </c>
    </row>
    <row r="52" spans="2:5">
      <c r="B52" s="102" t="s">
        <v>8</v>
      </c>
      <c r="C52" s="15" t="s">
        <v>115</v>
      </c>
      <c r="D52" s="207">
        <v>276.18</v>
      </c>
      <c r="E52" s="75">
        <v>279.98</v>
      </c>
    </row>
    <row r="53" spans="2:5" ht="13.5" customHeight="1" thickBot="1">
      <c r="B53" s="103" t="s">
        <v>9</v>
      </c>
      <c r="C53" s="17" t="s">
        <v>41</v>
      </c>
      <c r="D53" s="209">
        <v>276.16000000000003</v>
      </c>
      <c r="E53" s="233">
        <v>279.95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6.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274039.97000000003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E12</f>
        <v>274039.97000000003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0" t="s">
        <v>64</v>
      </c>
      <c r="C74" s="121" t="s">
        <v>66</v>
      </c>
      <c r="D74" s="122">
        <f>D58-D73</f>
        <v>274039.97000000003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274039.97000000003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9"/>
  <dimension ref="A1:F81"/>
  <sheetViews>
    <sheetView zoomScale="80" zoomScaleNormal="80" workbookViewId="0">
      <selection activeCell="G1" sqref="G1:Q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138"/>
      <c r="C4" s="138"/>
      <c r="D4" s="138"/>
      <c r="E4" s="138"/>
    </row>
    <row r="5" spans="2:5" ht="21" customHeight="1">
      <c r="B5" s="358" t="s">
        <v>1</v>
      </c>
      <c r="C5" s="358"/>
      <c r="D5" s="358"/>
      <c r="E5" s="358"/>
    </row>
    <row r="6" spans="2:5" ht="14.25">
      <c r="B6" s="359" t="s">
        <v>186</v>
      </c>
      <c r="C6" s="359"/>
      <c r="D6" s="359"/>
      <c r="E6" s="359"/>
    </row>
    <row r="7" spans="2:5" ht="14.25">
      <c r="B7" s="136"/>
      <c r="C7" s="136"/>
      <c r="D7" s="136"/>
      <c r="E7" s="136"/>
    </row>
    <row r="8" spans="2:5" ht="13.5">
      <c r="B8" s="361" t="s">
        <v>18</v>
      </c>
      <c r="C8" s="363"/>
      <c r="D8" s="363"/>
      <c r="E8" s="363"/>
    </row>
    <row r="9" spans="2:5" ht="16.5" thickBot="1">
      <c r="B9" s="360" t="s">
        <v>103</v>
      </c>
      <c r="C9" s="360"/>
      <c r="D9" s="360"/>
      <c r="E9" s="360"/>
    </row>
    <row r="10" spans="2:5" ht="13.5" thickBot="1">
      <c r="B10" s="137"/>
      <c r="C10" s="76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28" t="s">
        <v>109</v>
      </c>
      <c r="D11" s="243">
        <v>111648.58</v>
      </c>
      <c r="E11" s="244">
        <f>SUM(E12:E14)</f>
        <v>87485.23000000001</v>
      </c>
    </row>
    <row r="12" spans="2:5">
      <c r="B12" s="174" t="s">
        <v>4</v>
      </c>
      <c r="C12" s="175" t="s">
        <v>5</v>
      </c>
      <c r="D12" s="283">
        <v>111648.58</v>
      </c>
      <c r="E12" s="304">
        <f>88225.66-740.43</f>
        <v>87485.23000000001</v>
      </c>
    </row>
    <row r="13" spans="2:5">
      <c r="B13" s="174" t="s">
        <v>6</v>
      </c>
      <c r="C13" s="176" t="s">
        <v>7</v>
      </c>
      <c r="D13" s="276"/>
      <c r="E13" s="305"/>
    </row>
    <row r="14" spans="2:5">
      <c r="B14" s="174" t="s">
        <v>8</v>
      </c>
      <c r="C14" s="176" t="s">
        <v>10</v>
      </c>
      <c r="D14" s="276"/>
      <c r="E14" s="305"/>
    </row>
    <row r="15" spans="2:5">
      <c r="B15" s="174" t="s">
        <v>106</v>
      </c>
      <c r="C15" s="176" t="s">
        <v>11</v>
      </c>
      <c r="D15" s="276"/>
      <c r="E15" s="305"/>
    </row>
    <row r="16" spans="2:5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111648.58</v>
      </c>
      <c r="E21" s="148">
        <f>E11-E17</f>
        <v>87485.23000000001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199320.57</v>
      </c>
      <c r="E26" s="231">
        <f>D21</f>
        <v>111648.58</v>
      </c>
    </row>
    <row r="27" spans="2:6">
      <c r="B27" s="9" t="s">
        <v>17</v>
      </c>
      <c r="C27" s="10" t="s">
        <v>111</v>
      </c>
      <c r="D27" s="202">
        <v>-71500.219999999987</v>
      </c>
      <c r="E27" s="224">
        <f>E28-E32</f>
        <v>-30424.349999999984</v>
      </c>
      <c r="F27" s="71"/>
    </row>
    <row r="28" spans="2:6">
      <c r="B28" s="9" t="s">
        <v>18</v>
      </c>
      <c r="C28" s="10" t="s">
        <v>19</v>
      </c>
      <c r="D28" s="202">
        <v>7697.09</v>
      </c>
      <c r="E28" s="225">
        <v>15827.69</v>
      </c>
      <c r="F28" s="71"/>
    </row>
    <row r="29" spans="2:6">
      <c r="B29" s="182" t="s">
        <v>4</v>
      </c>
      <c r="C29" s="175" t="s">
        <v>20</v>
      </c>
      <c r="D29" s="203">
        <v>7697.09</v>
      </c>
      <c r="E29" s="226">
        <v>7054.76</v>
      </c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/>
      <c r="E31" s="226">
        <v>8772.93</v>
      </c>
      <c r="F31" s="71"/>
    </row>
    <row r="32" spans="2:6">
      <c r="B32" s="92" t="s">
        <v>23</v>
      </c>
      <c r="C32" s="11" t="s">
        <v>24</v>
      </c>
      <c r="D32" s="202">
        <v>79197.309999999983</v>
      </c>
      <c r="E32" s="225">
        <f>SUM(E33:E39)</f>
        <v>46252.039999999986</v>
      </c>
      <c r="F32" s="71"/>
    </row>
    <row r="33" spans="2:6">
      <c r="B33" s="182" t="s">
        <v>4</v>
      </c>
      <c r="C33" s="175" t="s">
        <v>25</v>
      </c>
      <c r="D33" s="203">
        <v>76239.159999999989</v>
      </c>
      <c r="E33" s="226">
        <f>45143.27-1804.69</f>
        <v>43338.579999999994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527.72</v>
      </c>
      <c r="E35" s="226">
        <v>508.95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2430.4299999999998</v>
      </c>
      <c r="E37" s="226">
        <v>1526.67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/>
      <c r="E39" s="227">
        <v>877.84</v>
      </c>
      <c r="F39" s="71"/>
    </row>
    <row r="40" spans="2:6" ht="13.5" thickBot="1">
      <c r="B40" s="97" t="s">
        <v>35</v>
      </c>
      <c r="C40" s="98" t="s">
        <v>36</v>
      </c>
      <c r="D40" s="205">
        <v>-16171.77</v>
      </c>
      <c r="E40" s="232">
        <v>6261</v>
      </c>
    </row>
    <row r="41" spans="2:6" ht="13.5" thickBot="1">
      <c r="B41" s="99" t="s">
        <v>37</v>
      </c>
      <c r="C41" s="100" t="s">
        <v>38</v>
      </c>
      <c r="D41" s="206">
        <v>111648.58000000002</v>
      </c>
      <c r="E41" s="148">
        <f>E26+E27+E40</f>
        <v>87485.23000000001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884.88599999999997</v>
      </c>
      <c r="E47" s="149">
        <v>552.25098000000003</v>
      </c>
    </row>
    <row r="48" spans="2:6">
      <c r="B48" s="187" t="s">
        <v>6</v>
      </c>
      <c r="C48" s="188" t="s">
        <v>41</v>
      </c>
      <c r="D48" s="207">
        <v>552.25098000000003</v>
      </c>
      <c r="E48" s="149">
        <v>406.92699999999996</v>
      </c>
    </row>
    <row r="49" spans="2:5">
      <c r="B49" s="120" t="s">
        <v>23</v>
      </c>
      <c r="C49" s="124" t="s">
        <v>113</v>
      </c>
      <c r="D49" s="208"/>
      <c r="E49" s="149"/>
    </row>
    <row r="50" spans="2:5">
      <c r="B50" s="185" t="s">
        <v>4</v>
      </c>
      <c r="C50" s="186" t="s">
        <v>40</v>
      </c>
      <c r="D50" s="207">
        <v>225.25</v>
      </c>
      <c r="E50" s="149">
        <v>202.17</v>
      </c>
    </row>
    <row r="51" spans="2:5">
      <c r="B51" s="185" t="s">
        <v>6</v>
      </c>
      <c r="C51" s="186" t="s">
        <v>114</v>
      </c>
      <c r="D51" s="207">
        <v>200.67</v>
      </c>
      <c r="E51" s="75">
        <v>200.74</v>
      </c>
    </row>
    <row r="52" spans="2:5">
      <c r="B52" s="185" t="s">
        <v>8</v>
      </c>
      <c r="C52" s="186" t="s">
        <v>115</v>
      </c>
      <c r="D52" s="207">
        <v>234.42</v>
      </c>
      <c r="E52" s="75">
        <v>217.75</v>
      </c>
    </row>
    <row r="53" spans="2:5" ht="13.5" thickBot="1">
      <c r="B53" s="189" t="s">
        <v>9</v>
      </c>
      <c r="C53" s="190" t="s">
        <v>41</v>
      </c>
      <c r="D53" s="209">
        <v>202.17</v>
      </c>
      <c r="E53" s="233">
        <v>214.99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4.25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87485.23000000001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24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87485.23000000001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87485.23000000001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87485.23000000001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6000000000000005" right="0.75" top="0.53" bottom="0.55000000000000004" header="0.5" footer="0.5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F81"/>
  <sheetViews>
    <sheetView zoomScale="80" zoomScaleNormal="80" workbookViewId="0">
      <selection activeCell="G1" sqref="G1:O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85"/>
      <c r="C4" s="85"/>
      <c r="D4" s="85"/>
      <c r="E4" s="85"/>
    </row>
    <row r="5" spans="2:5" ht="21" customHeight="1">
      <c r="B5" s="358" t="s">
        <v>1</v>
      </c>
      <c r="C5" s="358"/>
      <c r="D5" s="358"/>
      <c r="E5" s="358"/>
    </row>
    <row r="6" spans="2:5" ht="14.25">
      <c r="B6" s="359" t="s">
        <v>99</v>
      </c>
      <c r="C6" s="359"/>
      <c r="D6" s="359"/>
      <c r="E6" s="359"/>
    </row>
    <row r="7" spans="2:5" ht="14.25">
      <c r="B7" s="89"/>
      <c r="C7" s="89"/>
      <c r="D7" s="89"/>
      <c r="E7" s="89"/>
    </row>
    <row r="8" spans="2:5" ht="13.5">
      <c r="B8" s="361" t="s">
        <v>18</v>
      </c>
      <c r="C8" s="363"/>
      <c r="D8" s="363"/>
      <c r="E8" s="363"/>
    </row>
    <row r="9" spans="2:5" ht="16.5" thickBot="1">
      <c r="B9" s="360" t="s">
        <v>103</v>
      </c>
      <c r="C9" s="360"/>
      <c r="D9" s="360"/>
      <c r="E9" s="360"/>
    </row>
    <row r="10" spans="2:5" ht="13.5" thickBot="1">
      <c r="B10" s="242"/>
      <c r="C10" s="215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28" t="s">
        <v>109</v>
      </c>
      <c r="D11" s="243">
        <v>70524437.230000004</v>
      </c>
      <c r="E11" s="244">
        <f>SUM(E12:E14)</f>
        <v>78462958.579999998</v>
      </c>
    </row>
    <row r="12" spans="2:5">
      <c r="B12" s="174" t="s">
        <v>4</v>
      </c>
      <c r="C12" s="175" t="s">
        <v>5</v>
      </c>
      <c r="D12" s="283">
        <v>70218656.609999999</v>
      </c>
      <c r="E12" s="304">
        <f>79448681.05+199172.6-1336075</f>
        <v>78311778.649999991</v>
      </c>
    </row>
    <row r="13" spans="2:5">
      <c r="B13" s="174" t="s">
        <v>6</v>
      </c>
      <c r="C13" s="176" t="s">
        <v>7</v>
      </c>
      <c r="D13" s="276"/>
      <c r="E13" s="305"/>
    </row>
    <row r="14" spans="2:5">
      <c r="B14" s="174" t="s">
        <v>8</v>
      </c>
      <c r="C14" s="176" t="s">
        <v>10</v>
      </c>
      <c r="D14" s="276">
        <v>305780.62</v>
      </c>
      <c r="E14" s="305">
        <f>E15</f>
        <v>151179.93</v>
      </c>
    </row>
    <row r="15" spans="2:5">
      <c r="B15" s="174" t="s">
        <v>106</v>
      </c>
      <c r="C15" s="176" t="s">
        <v>11</v>
      </c>
      <c r="D15" s="276">
        <v>305780.62</v>
      </c>
      <c r="E15" s="305">
        <v>151179.93</v>
      </c>
    </row>
    <row r="16" spans="2:5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>
        <v>38993.769999999997</v>
      </c>
      <c r="E17" s="307">
        <f>E18</f>
        <v>33999.589999999997</v>
      </c>
    </row>
    <row r="18" spans="2:6">
      <c r="B18" s="174" t="s">
        <v>4</v>
      </c>
      <c r="C18" s="175" t="s">
        <v>11</v>
      </c>
      <c r="D18" s="278">
        <v>38993.769999999997</v>
      </c>
      <c r="E18" s="306">
        <v>33999.589999999997</v>
      </c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70485443.460000008</v>
      </c>
      <c r="E21" s="148">
        <f>E11-E17</f>
        <v>78428958.989999995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69"/>
      <c r="D23" s="369"/>
      <c r="E23" s="369"/>
    </row>
    <row r="24" spans="2:6" ht="17.25" customHeight="1" thickBot="1">
      <c r="B24" s="360" t="s">
        <v>105</v>
      </c>
      <c r="C24" s="370"/>
      <c r="D24" s="370"/>
      <c r="E24" s="370"/>
    </row>
    <row r="25" spans="2:6" ht="13.5" thickBot="1">
      <c r="B25" s="86"/>
      <c r="C25" s="5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63399502.130000003</v>
      </c>
      <c r="E26" s="231">
        <f>D21</f>
        <v>70485443.460000008</v>
      </c>
    </row>
    <row r="27" spans="2:6">
      <c r="B27" s="9" t="s">
        <v>17</v>
      </c>
      <c r="C27" s="10" t="s">
        <v>111</v>
      </c>
      <c r="D27" s="202">
        <v>6960714.9199999962</v>
      </c>
      <c r="E27" s="224">
        <f>E28-E32</f>
        <v>7104004.4799999818</v>
      </c>
      <c r="F27" s="71"/>
    </row>
    <row r="28" spans="2:6">
      <c r="B28" s="9" t="s">
        <v>18</v>
      </c>
      <c r="C28" s="10" t="s">
        <v>19</v>
      </c>
      <c r="D28" s="202">
        <v>20702298.549999997</v>
      </c>
      <c r="E28" s="225">
        <v>20169527.18</v>
      </c>
      <c r="F28" s="71"/>
    </row>
    <row r="29" spans="2:6">
      <c r="B29" s="104" t="s">
        <v>4</v>
      </c>
      <c r="C29" s="6" t="s">
        <v>20</v>
      </c>
      <c r="D29" s="203">
        <v>18254588.850000001</v>
      </c>
      <c r="E29" s="226">
        <v>18003621.52</v>
      </c>
      <c r="F29" s="71"/>
    </row>
    <row r="30" spans="2:6">
      <c r="B30" s="104" t="s">
        <v>6</v>
      </c>
      <c r="C30" s="6" t="s">
        <v>21</v>
      </c>
      <c r="D30" s="203"/>
      <c r="E30" s="226"/>
      <c r="F30" s="71"/>
    </row>
    <row r="31" spans="2:6">
      <c r="B31" s="104" t="s">
        <v>8</v>
      </c>
      <c r="C31" s="6" t="s">
        <v>22</v>
      </c>
      <c r="D31" s="203">
        <v>2447709.7000000002</v>
      </c>
      <c r="E31" s="226">
        <v>2165905.66</v>
      </c>
      <c r="F31" s="71"/>
    </row>
    <row r="32" spans="2:6">
      <c r="B32" s="92" t="s">
        <v>23</v>
      </c>
      <c r="C32" s="11" t="s">
        <v>24</v>
      </c>
      <c r="D32" s="202">
        <v>13741583.630000001</v>
      </c>
      <c r="E32" s="225">
        <f>SUM(E33:E39)</f>
        <v>13065522.700000018</v>
      </c>
      <c r="F32" s="71"/>
    </row>
    <row r="33" spans="2:6">
      <c r="B33" s="104" t="s">
        <v>4</v>
      </c>
      <c r="C33" s="6" t="s">
        <v>25</v>
      </c>
      <c r="D33" s="203">
        <v>10777191.16</v>
      </c>
      <c r="E33" s="226">
        <f>10876277.37-504376.79</f>
        <v>10371900.58</v>
      </c>
      <c r="F33" s="71"/>
    </row>
    <row r="34" spans="2:6">
      <c r="B34" s="104" t="s">
        <v>6</v>
      </c>
      <c r="C34" s="6" t="s">
        <v>26</v>
      </c>
      <c r="D34" s="203"/>
      <c r="E34" s="226"/>
      <c r="F34" s="71"/>
    </row>
    <row r="35" spans="2:6">
      <c r="B35" s="104" t="s">
        <v>8</v>
      </c>
      <c r="C35" s="6" t="s">
        <v>27</v>
      </c>
      <c r="D35" s="203">
        <v>1363795.75</v>
      </c>
      <c r="E35" s="226">
        <v>1469200.1</v>
      </c>
      <c r="F35" s="71"/>
    </row>
    <row r="36" spans="2:6">
      <c r="B36" s="104" t="s">
        <v>9</v>
      </c>
      <c r="C36" s="6" t="s">
        <v>28</v>
      </c>
      <c r="D36" s="203"/>
      <c r="E36" s="226"/>
      <c r="F36" s="71"/>
    </row>
    <row r="37" spans="2:6" ht="25.5">
      <c r="B37" s="104" t="s">
        <v>29</v>
      </c>
      <c r="C37" s="6" t="s">
        <v>30</v>
      </c>
      <c r="D37" s="203"/>
      <c r="E37" s="226"/>
      <c r="F37" s="71"/>
    </row>
    <row r="38" spans="2:6">
      <c r="B38" s="104" t="s">
        <v>31</v>
      </c>
      <c r="C38" s="6" t="s">
        <v>32</v>
      </c>
      <c r="D38" s="203"/>
      <c r="E38" s="226"/>
      <c r="F38" s="71"/>
    </row>
    <row r="39" spans="2:6">
      <c r="B39" s="105" t="s">
        <v>33</v>
      </c>
      <c r="C39" s="12" t="s">
        <v>34</v>
      </c>
      <c r="D39" s="204">
        <v>1600596.72</v>
      </c>
      <c r="E39" s="227">
        <v>1224422.0200000179</v>
      </c>
      <c r="F39" s="71"/>
    </row>
    <row r="40" spans="2:6" ht="13.5" thickBot="1">
      <c r="B40" s="97" t="s">
        <v>35</v>
      </c>
      <c r="C40" s="98" t="s">
        <v>36</v>
      </c>
      <c r="D40" s="205">
        <v>125226.41</v>
      </c>
      <c r="E40" s="232">
        <v>839511.05</v>
      </c>
    </row>
    <row r="41" spans="2:6" ht="13.5" thickBot="1">
      <c r="B41" s="99" t="s">
        <v>37</v>
      </c>
      <c r="C41" s="100" t="s">
        <v>38</v>
      </c>
      <c r="D41" s="206">
        <v>70485443.459999993</v>
      </c>
      <c r="E41" s="148">
        <f>E26+E27+E40</f>
        <v>78428958.989999995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63"/>
      <c r="D43" s="363"/>
      <c r="E43" s="363"/>
    </row>
    <row r="44" spans="2:6" ht="17.25" customHeight="1" thickBot="1">
      <c r="B44" s="360" t="s">
        <v>121</v>
      </c>
      <c r="C44" s="364"/>
      <c r="D44" s="364"/>
      <c r="E44" s="364"/>
    </row>
    <row r="45" spans="2:6" ht="13.5" thickBot="1">
      <c r="B45" s="86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7">
        <v>5647151.1624999996</v>
      </c>
      <c r="E47" s="73">
        <v>6267415.9493199997</v>
      </c>
    </row>
    <row r="48" spans="2:6">
      <c r="B48" s="123" t="s">
        <v>6</v>
      </c>
      <c r="C48" s="22" t="s">
        <v>41</v>
      </c>
      <c r="D48" s="207">
        <v>6267415.9493199997</v>
      </c>
      <c r="E48" s="272">
        <v>6897366.5948000001</v>
      </c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02" t="s">
        <v>4</v>
      </c>
      <c r="C50" s="15" t="s">
        <v>40</v>
      </c>
      <c r="D50" s="207">
        <v>11.2268115914646</v>
      </c>
      <c r="E50" s="73">
        <v>11.2463324645959</v>
      </c>
    </row>
    <row r="51" spans="2:5">
      <c r="B51" s="102" t="s">
        <v>6</v>
      </c>
      <c r="C51" s="15" t="s">
        <v>114</v>
      </c>
      <c r="D51" s="207">
        <v>11.186500000000001</v>
      </c>
      <c r="E51" s="330">
        <v>11.2463</v>
      </c>
    </row>
    <row r="52" spans="2:5" ht="12.75" customHeight="1">
      <c r="B52" s="102" t="s">
        <v>8</v>
      </c>
      <c r="C52" s="15" t="s">
        <v>115</v>
      </c>
      <c r="D52" s="207">
        <v>11.2768</v>
      </c>
      <c r="E52" s="330">
        <v>11.3748</v>
      </c>
    </row>
    <row r="53" spans="2:5" ht="13.5" thickBot="1">
      <c r="B53" s="103" t="s">
        <v>9</v>
      </c>
      <c r="C53" s="17" t="s">
        <v>41</v>
      </c>
      <c r="D53" s="209">
        <v>11.2463324645959</v>
      </c>
      <c r="E53" s="273">
        <v>11.370900000000001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6.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SUM(D59:D70)</f>
        <v>78311778.649999991</v>
      </c>
      <c r="E58" s="31">
        <f>D58/E21</f>
        <v>0.99850590468738798</v>
      </c>
    </row>
    <row r="59" spans="2:5" ht="25.5">
      <c r="B59" s="21" t="s">
        <v>4</v>
      </c>
      <c r="C59" s="22" t="s">
        <v>44</v>
      </c>
      <c r="D59" s="80">
        <v>0</v>
      </c>
      <c r="E59" s="81">
        <v>0</v>
      </c>
    </row>
    <row r="60" spans="2:5" ht="24" customHeight="1">
      <c r="B60" s="14" t="s">
        <v>6</v>
      </c>
      <c r="C60" s="15" t="s">
        <v>45</v>
      </c>
      <c r="D60" s="78">
        <v>0</v>
      </c>
      <c r="E60" s="79">
        <v>0</v>
      </c>
    </row>
    <row r="61" spans="2:5">
      <c r="B61" s="14" t="s">
        <v>8</v>
      </c>
      <c r="C61" s="15" t="s">
        <v>46</v>
      </c>
      <c r="D61" s="78">
        <v>0</v>
      </c>
      <c r="E61" s="79">
        <v>0</v>
      </c>
    </row>
    <row r="62" spans="2:5">
      <c r="B62" s="14" t="s">
        <v>9</v>
      </c>
      <c r="C62" s="15" t="s">
        <v>47</v>
      </c>
      <c r="D62" s="78">
        <v>0</v>
      </c>
      <c r="E62" s="79">
        <v>0</v>
      </c>
    </row>
    <row r="63" spans="2:5">
      <c r="B63" s="14" t="s">
        <v>29</v>
      </c>
      <c r="C63" s="15" t="s">
        <v>48</v>
      </c>
      <c r="D63" s="78">
        <v>0</v>
      </c>
      <c r="E63" s="79">
        <v>0</v>
      </c>
    </row>
    <row r="64" spans="2:5">
      <c r="B64" s="21" t="s">
        <v>31</v>
      </c>
      <c r="C64" s="22" t="s">
        <v>49</v>
      </c>
      <c r="D64" s="269">
        <f>79448681.05-1336075</f>
        <v>78112606.049999997</v>
      </c>
      <c r="E64" s="81">
        <f>D64/E21</f>
        <v>0.99596637588877934</v>
      </c>
    </row>
    <row r="65" spans="2:5">
      <c r="B65" s="21" t="s">
        <v>33</v>
      </c>
      <c r="C65" s="22" t="s">
        <v>118</v>
      </c>
      <c r="D65" s="80">
        <v>0</v>
      </c>
      <c r="E65" s="81">
        <v>0</v>
      </c>
    </row>
    <row r="66" spans="2:5">
      <c r="B66" s="21" t="s">
        <v>50</v>
      </c>
      <c r="C66" s="22" t="s">
        <v>51</v>
      </c>
      <c r="D66" s="80">
        <v>0</v>
      </c>
      <c r="E66" s="81">
        <v>0</v>
      </c>
    </row>
    <row r="67" spans="2:5">
      <c r="B67" s="14" t="s">
        <v>52</v>
      </c>
      <c r="C67" s="15" t="s">
        <v>53</v>
      </c>
      <c r="D67" s="78">
        <v>0</v>
      </c>
      <c r="E67" s="79">
        <v>0</v>
      </c>
    </row>
    <row r="68" spans="2:5">
      <c r="B68" s="14" t="s">
        <v>54</v>
      </c>
      <c r="C68" s="15" t="s">
        <v>55</v>
      </c>
      <c r="D68" s="78">
        <v>0</v>
      </c>
      <c r="E68" s="79">
        <v>0</v>
      </c>
    </row>
    <row r="69" spans="2:5">
      <c r="B69" s="14" t="s">
        <v>56</v>
      </c>
      <c r="C69" s="15" t="s">
        <v>57</v>
      </c>
      <c r="D69" s="286">
        <v>199172.6</v>
      </c>
      <c r="E69" s="79">
        <f>D69/E21</f>
        <v>2.5395287986086277E-3</v>
      </c>
    </row>
    <row r="70" spans="2:5">
      <c r="B70" s="112" t="s">
        <v>58</v>
      </c>
      <c r="C70" s="113" t="s">
        <v>59</v>
      </c>
      <c r="D70" s="114">
        <v>0</v>
      </c>
      <c r="E70" s="115">
        <v>0</v>
      </c>
    </row>
    <row r="71" spans="2:5">
      <c r="B71" s="120" t="s">
        <v>23</v>
      </c>
      <c r="C71" s="121" t="s">
        <v>61</v>
      </c>
      <c r="D71" s="122">
        <f>E13</f>
        <v>0</v>
      </c>
      <c r="E71" s="66">
        <v>0</v>
      </c>
    </row>
    <row r="72" spans="2:5">
      <c r="B72" s="116" t="s">
        <v>60</v>
      </c>
      <c r="C72" s="117" t="s">
        <v>63</v>
      </c>
      <c r="D72" s="118">
        <f>E14</f>
        <v>151179.93</v>
      </c>
      <c r="E72" s="119">
        <f>D72/E21</f>
        <v>1.9276034254040787E-3</v>
      </c>
    </row>
    <row r="73" spans="2:5">
      <c r="B73" s="23" t="s">
        <v>62</v>
      </c>
      <c r="C73" s="24" t="s">
        <v>65</v>
      </c>
      <c r="D73" s="25">
        <f>E17</f>
        <v>33999.589999999997</v>
      </c>
      <c r="E73" s="26">
        <f>D73/E21</f>
        <v>4.3350811279205021E-4</v>
      </c>
    </row>
    <row r="74" spans="2:5">
      <c r="B74" s="120" t="s">
        <v>64</v>
      </c>
      <c r="C74" s="121" t="s">
        <v>66</v>
      </c>
      <c r="D74" s="122">
        <f>D58+D71+D72-D73</f>
        <v>78428958.989999995</v>
      </c>
      <c r="E74" s="66">
        <f>E58+E72-E73</f>
        <v>0.99999999999999989</v>
      </c>
    </row>
    <row r="75" spans="2:5">
      <c r="B75" s="14" t="s">
        <v>4</v>
      </c>
      <c r="C75" s="15" t="s">
        <v>67</v>
      </c>
      <c r="D75" s="78">
        <f>D74</f>
        <v>78428958.989999995</v>
      </c>
      <c r="E75" s="79">
        <f>E74</f>
        <v>0.99999999999999989</v>
      </c>
    </row>
    <row r="76" spans="2:5">
      <c r="B76" s="14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6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" right="0.75" top="0.61" bottom="0.55000000000000004" header="0.5" footer="0.5"/>
  <pageSetup paperSize="9" scale="70" orientation="portrait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0"/>
  <dimension ref="A1:F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138"/>
      <c r="C4" s="138"/>
      <c r="D4" s="138"/>
      <c r="E4" s="138"/>
    </row>
    <row r="5" spans="2:5" ht="21" customHeight="1">
      <c r="B5" s="358" t="s">
        <v>1</v>
      </c>
      <c r="C5" s="358"/>
      <c r="D5" s="358"/>
      <c r="E5" s="358"/>
    </row>
    <row r="6" spans="2:5" ht="14.25">
      <c r="B6" s="359" t="s">
        <v>77</v>
      </c>
      <c r="C6" s="359"/>
      <c r="D6" s="359"/>
      <c r="E6" s="359"/>
    </row>
    <row r="7" spans="2:5" ht="14.25">
      <c r="B7" s="136"/>
      <c r="C7" s="136"/>
      <c r="D7" s="136"/>
      <c r="E7" s="136"/>
    </row>
    <row r="8" spans="2:5" ht="13.5">
      <c r="B8" s="361" t="s">
        <v>18</v>
      </c>
      <c r="C8" s="363"/>
      <c r="D8" s="363"/>
      <c r="E8" s="363"/>
    </row>
    <row r="9" spans="2:5" ht="16.5" thickBot="1">
      <c r="B9" s="360" t="s">
        <v>103</v>
      </c>
      <c r="C9" s="360"/>
      <c r="D9" s="360"/>
      <c r="E9" s="360"/>
    </row>
    <row r="10" spans="2:5" ht="13.5" thickBot="1">
      <c r="B10" s="137"/>
      <c r="C10" s="76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28" t="s">
        <v>109</v>
      </c>
      <c r="D11" s="243">
        <v>26020525.09</v>
      </c>
      <c r="E11" s="244">
        <f>SUM(E12:E14)</f>
        <v>29426329.940000001</v>
      </c>
    </row>
    <row r="12" spans="2:5">
      <c r="B12" s="174" t="s">
        <v>4</v>
      </c>
      <c r="C12" s="175" t="s">
        <v>5</v>
      </c>
      <c r="D12" s="283">
        <v>26020525.09</v>
      </c>
      <c r="E12" s="304">
        <v>29426329.940000001</v>
      </c>
    </row>
    <row r="13" spans="2:5">
      <c r="B13" s="174" t="s">
        <v>6</v>
      </c>
      <c r="C13" s="176" t="s">
        <v>7</v>
      </c>
      <c r="D13" s="276"/>
      <c r="E13" s="305"/>
    </row>
    <row r="14" spans="2:5">
      <c r="B14" s="174" t="s">
        <v>8</v>
      </c>
      <c r="C14" s="176" t="s">
        <v>10</v>
      </c>
      <c r="D14" s="276"/>
      <c r="E14" s="305"/>
    </row>
    <row r="15" spans="2:5">
      <c r="B15" s="174" t="s">
        <v>106</v>
      </c>
      <c r="C15" s="176" t="s">
        <v>11</v>
      </c>
      <c r="D15" s="276"/>
      <c r="E15" s="305"/>
    </row>
    <row r="16" spans="2:5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26020525.09</v>
      </c>
      <c r="E21" s="148">
        <f>E11-E17</f>
        <v>29426329.940000001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172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30808873.649999999</v>
      </c>
      <c r="E26" s="231">
        <f>D21</f>
        <v>26020525.09</v>
      </c>
    </row>
    <row r="27" spans="2:6">
      <c r="B27" s="9" t="s">
        <v>17</v>
      </c>
      <c r="C27" s="10" t="s">
        <v>111</v>
      </c>
      <c r="D27" s="202">
        <v>-1024483.1599999997</v>
      </c>
      <c r="E27" s="224">
        <f>E28-E32</f>
        <v>-2316466.7699999996</v>
      </c>
      <c r="F27" s="71"/>
    </row>
    <row r="28" spans="2:6">
      <c r="B28" s="9" t="s">
        <v>18</v>
      </c>
      <c r="C28" s="10" t="s">
        <v>19</v>
      </c>
      <c r="D28" s="202">
        <v>2639029.9300000002</v>
      </c>
      <c r="E28" s="225">
        <v>2226287.9500000002</v>
      </c>
      <c r="F28" s="71"/>
    </row>
    <row r="29" spans="2:6">
      <c r="B29" s="182" t="s">
        <v>4</v>
      </c>
      <c r="C29" s="175" t="s">
        <v>20</v>
      </c>
      <c r="D29" s="203">
        <v>2639029.9300000002</v>
      </c>
      <c r="E29" s="226">
        <v>2226287.9500000002</v>
      </c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/>
      <c r="E31" s="226"/>
      <c r="F31" s="71"/>
    </row>
    <row r="32" spans="2:6">
      <c r="B32" s="92" t="s">
        <v>23</v>
      </c>
      <c r="C32" s="11" t="s">
        <v>24</v>
      </c>
      <c r="D32" s="202">
        <v>3663513.09</v>
      </c>
      <c r="E32" s="225">
        <f>SUM(E33:E39)</f>
        <v>4542754.72</v>
      </c>
      <c r="F32" s="71"/>
    </row>
    <row r="33" spans="2:6">
      <c r="B33" s="182" t="s">
        <v>4</v>
      </c>
      <c r="C33" s="175" t="s">
        <v>25</v>
      </c>
      <c r="D33" s="203">
        <v>3663513.09</v>
      </c>
      <c r="E33" s="226">
        <f>4561510.76-18756.05+0.01</f>
        <v>4542754.72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/>
      <c r="E35" s="226"/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/>
      <c r="E37" s="226"/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/>
      <c r="E39" s="227"/>
      <c r="F39" s="71"/>
    </row>
    <row r="40" spans="2:6" ht="13.5" thickBot="1">
      <c r="B40" s="97" t="s">
        <v>35</v>
      </c>
      <c r="C40" s="98" t="s">
        <v>36</v>
      </c>
      <c r="D40" s="205">
        <v>-3763865.4</v>
      </c>
      <c r="E40" s="232">
        <v>5722271.6200000001</v>
      </c>
    </row>
    <row r="41" spans="2:6" ht="13.5" thickBot="1">
      <c r="B41" s="99" t="s">
        <v>37</v>
      </c>
      <c r="C41" s="100" t="s">
        <v>38</v>
      </c>
      <c r="D41" s="206">
        <v>26020525.09</v>
      </c>
      <c r="E41" s="148">
        <f>E26+E27+E40</f>
        <v>29426329.940000001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63"/>
      <c r="D43" s="363"/>
      <c r="E43" s="363"/>
    </row>
    <row r="44" spans="2:6" ht="18" customHeight="1" thickBot="1">
      <c r="B44" s="360" t="s">
        <v>121</v>
      </c>
      <c r="C44" s="364"/>
      <c r="D44" s="364"/>
      <c r="E44" s="364"/>
    </row>
    <row r="45" spans="2:6" ht="13.5" thickBot="1">
      <c r="B45" s="137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7">
        <v>1503025.8537999999</v>
      </c>
      <c r="E47" s="149">
        <v>1452208.4110999999</v>
      </c>
    </row>
    <row r="48" spans="2:6">
      <c r="B48" s="123" t="s">
        <v>6</v>
      </c>
      <c r="C48" s="22" t="s">
        <v>41</v>
      </c>
      <c r="D48" s="207">
        <v>1452208.4110999999</v>
      </c>
      <c r="E48" s="149">
        <v>1330370.4044999999</v>
      </c>
    </row>
    <row r="49" spans="2:5">
      <c r="B49" s="120" t="s">
        <v>23</v>
      </c>
      <c r="C49" s="124" t="s">
        <v>113</v>
      </c>
      <c r="D49" s="208"/>
      <c r="E49" s="149"/>
    </row>
    <row r="50" spans="2:5">
      <c r="B50" s="102" t="s">
        <v>4</v>
      </c>
      <c r="C50" s="15" t="s">
        <v>40</v>
      </c>
      <c r="D50" s="207">
        <v>20.497900000000001</v>
      </c>
      <c r="E50" s="149">
        <v>17.917899999999999</v>
      </c>
    </row>
    <row r="51" spans="2:5">
      <c r="B51" s="102" t="s">
        <v>6</v>
      </c>
      <c r="C51" s="15" t="s">
        <v>114</v>
      </c>
      <c r="D51" s="207">
        <v>17.284700000000001</v>
      </c>
      <c r="E51" s="75">
        <v>17.882999999999999</v>
      </c>
    </row>
    <row r="52" spans="2:5">
      <c r="B52" s="102" t="s">
        <v>8</v>
      </c>
      <c r="C52" s="15" t="s">
        <v>115</v>
      </c>
      <c r="D52" s="207">
        <v>21.9465</v>
      </c>
      <c r="E52" s="75">
        <v>22.195799999999998</v>
      </c>
    </row>
    <row r="53" spans="2:5" ht="13.5" customHeight="1" thickBot="1">
      <c r="B53" s="103" t="s">
        <v>9</v>
      </c>
      <c r="C53" s="17" t="s">
        <v>41</v>
      </c>
      <c r="D53" s="209">
        <v>17.917899999999999</v>
      </c>
      <c r="E53" s="233">
        <v>22.1189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6.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29426329.940000001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29426329.940000001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29426329.940000001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v>0</v>
      </c>
      <c r="E75" s="79">
        <v>0</v>
      </c>
    </row>
    <row r="76" spans="2:5">
      <c r="B76" s="102" t="s">
        <v>6</v>
      </c>
      <c r="C76" s="15" t="s">
        <v>119</v>
      </c>
      <c r="D76" s="78">
        <f>D74</f>
        <v>29426329.940000001</v>
      </c>
      <c r="E76" s="79">
        <f>E74</f>
        <v>1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6000000000000005" right="0.75" top="0.62" bottom="0.52" header="0.5" footer="0.5"/>
  <pageSetup paperSize="9" scale="70" orientation="portrait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1"/>
  <dimension ref="A1:F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138"/>
      <c r="C4" s="138"/>
      <c r="D4" s="138"/>
      <c r="E4" s="138"/>
    </row>
    <row r="5" spans="2:5" ht="21" customHeight="1">
      <c r="B5" s="358" t="s">
        <v>1</v>
      </c>
      <c r="C5" s="358"/>
      <c r="D5" s="358"/>
      <c r="E5" s="358"/>
    </row>
    <row r="6" spans="2:5" ht="14.25">
      <c r="B6" s="359" t="s">
        <v>78</v>
      </c>
      <c r="C6" s="359"/>
      <c r="D6" s="359"/>
      <c r="E6" s="359"/>
    </row>
    <row r="7" spans="2:5" ht="14.25">
      <c r="B7" s="136"/>
      <c r="C7" s="136"/>
      <c r="D7" s="136"/>
      <c r="E7" s="136"/>
    </row>
    <row r="8" spans="2:5" ht="13.5">
      <c r="B8" s="361" t="s">
        <v>18</v>
      </c>
      <c r="C8" s="363"/>
      <c r="D8" s="363"/>
      <c r="E8" s="363"/>
    </row>
    <row r="9" spans="2:5" ht="16.5" thickBot="1">
      <c r="B9" s="360" t="s">
        <v>103</v>
      </c>
      <c r="C9" s="360"/>
      <c r="D9" s="360"/>
      <c r="E9" s="360"/>
    </row>
    <row r="10" spans="2:5" ht="13.5" thickBot="1">
      <c r="B10" s="137"/>
      <c r="C10" s="76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28" t="s">
        <v>109</v>
      </c>
      <c r="D11" s="243">
        <v>37733841.700000003</v>
      </c>
      <c r="E11" s="244">
        <f>SUM(E12:E14)</f>
        <v>41088497.159999996</v>
      </c>
    </row>
    <row r="12" spans="2:5">
      <c r="B12" s="174" t="s">
        <v>4</v>
      </c>
      <c r="C12" s="175" t="s">
        <v>5</v>
      </c>
      <c r="D12" s="283">
        <v>37733841.700000003</v>
      </c>
      <c r="E12" s="304">
        <v>41088497.159999996</v>
      </c>
    </row>
    <row r="13" spans="2:5">
      <c r="B13" s="174" t="s">
        <v>6</v>
      </c>
      <c r="C13" s="176" t="s">
        <v>7</v>
      </c>
      <c r="D13" s="276"/>
      <c r="E13" s="305"/>
    </row>
    <row r="14" spans="2:5">
      <c r="B14" s="174" t="s">
        <v>8</v>
      </c>
      <c r="C14" s="176" t="s">
        <v>10</v>
      </c>
      <c r="D14" s="276"/>
      <c r="E14" s="305"/>
    </row>
    <row r="15" spans="2:5">
      <c r="B15" s="174" t="s">
        <v>106</v>
      </c>
      <c r="C15" s="176" t="s">
        <v>11</v>
      </c>
      <c r="D15" s="276"/>
      <c r="E15" s="305"/>
    </row>
    <row r="16" spans="2:5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37733841.700000003</v>
      </c>
      <c r="E21" s="148">
        <f>E11-E17</f>
        <v>41088497.159999996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43851822.480000004</v>
      </c>
      <c r="E26" s="231">
        <f>D21</f>
        <v>37733841.700000003</v>
      </c>
    </row>
    <row r="27" spans="2:6">
      <c r="B27" s="9" t="s">
        <v>17</v>
      </c>
      <c r="C27" s="10" t="s">
        <v>111</v>
      </c>
      <c r="D27" s="202">
        <v>-1432049.8500000006</v>
      </c>
      <c r="E27" s="224">
        <f>E28-E32</f>
        <v>-1888731.6099999999</v>
      </c>
      <c r="F27" s="71"/>
    </row>
    <row r="28" spans="2:6">
      <c r="B28" s="9" t="s">
        <v>18</v>
      </c>
      <c r="C28" s="10" t="s">
        <v>19</v>
      </c>
      <c r="D28" s="202">
        <v>3679733.34</v>
      </c>
      <c r="E28" s="225">
        <v>3207821.14</v>
      </c>
      <c r="F28" s="71"/>
    </row>
    <row r="29" spans="2:6">
      <c r="B29" s="182" t="s">
        <v>4</v>
      </c>
      <c r="C29" s="175" t="s">
        <v>20</v>
      </c>
      <c r="D29" s="203">
        <v>3679733.34</v>
      </c>
      <c r="E29" s="226">
        <v>3207821.14</v>
      </c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/>
      <c r="E31" s="226"/>
      <c r="F31" s="71"/>
    </row>
    <row r="32" spans="2:6">
      <c r="B32" s="92" t="s">
        <v>23</v>
      </c>
      <c r="C32" s="11" t="s">
        <v>24</v>
      </c>
      <c r="D32" s="202">
        <v>5111783.1900000004</v>
      </c>
      <c r="E32" s="225">
        <f>SUM(E33:E39)</f>
        <v>5096552.75</v>
      </c>
      <c r="F32" s="71"/>
    </row>
    <row r="33" spans="2:6">
      <c r="B33" s="182" t="s">
        <v>4</v>
      </c>
      <c r="C33" s="175" t="s">
        <v>25</v>
      </c>
      <c r="D33" s="203">
        <v>5111783.1900000004</v>
      </c>
      <c r="E33" s="226">
        <f>5115878.67-19325.93+0.01</f>
        <v>5096552.75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/>
      <c r="E35" s="226"/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/>
      <c r="E37" s="226"/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/>
      <c r="E39" s="227"/>
      <c r="F39" s="71"/>
    </row>
    <row r="40" spans="2:6" ht="13.5" thickBot="1">
      <c r="B40" s="97" t="s">
        <v>35</v>
      </c>
      <c r="C40" s="98" t="s">
        <v>36</v>
      </c>
      <c r="D40" s="205">
        <v>-4685930.93</v>
      </c>
      <c r="E40" s="232">
        <v>5243387.07</v>
      </c>
    </row>
    <row r="41" spans="2:6" ht="13.5" thickBot="1">
      <c r="B41" s="99" t="s">
        <v>37</v>
      </c>
      <c r="C41" s="100" t="s">
        <v>38</v>
      </c>
      <c r="D41" s="206">
        <v>37733841.700000003</v>
      </c>
      <c r="E41" s="148">
        <f>E26+E27+E40</f>
        <v>41088497.160000004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63"/>
      <c r="D43" s="363"/>
      <c r="E43" s="363"/>
    </row>
    <row r="44" spans="2:6" ht="18" customHeight="1" thickBot="1">
      <c r="B44" s="360" t="s">
        <v>121</v>
      </c>
      <c r="C44" s="364"/>
      <c r="D44" s="364"/>
      <c r="E44" s="364"/>
    </row>
    <row r="45" spans="2:6" ht="13.5" thickBot="1">
      <c r="B45" s="137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7">
        <v>856683.36618600006</v>
      </c>
      <c r="E47" s="149">
        <v>828481.25842600001</v>
      </c>
    </row>
    <row r="48" spans="2:6">
      <c r="B48" s="123" t="s">
        <v>6</v>
      </c>
      <c r="C48" s="22" t="s">
        <v>41</v>
      </c>
      <c r="D48" s="207">
        <v>828481.25842600001</v>
      </c>
      <c r="E48" s="149">
        <v>787869.49459999998</v>
      </c>
    </row>
    <row r="49" spans="2:5">
      <c r="B49" s="120" t="s">
        <v>23</v>
      </c>
      <c r="C49" s="124" t="s">
        <v>113</v>
      </c>
      <c r="D49" s="208"/>
      <c r="E49" s="149"/>
    </row>
    <row r="50" spans="2:5">
      <c r="B50" s="102" t="s">
        <v>4</v>
      </c>
      <c r="C50" s="15" t="s">
        <v>40</v>
      </c>
      <c r="D50" s="207">
        <v>51.187899999999999</v>
      </c>
      <c r="E50" s="149">
        <v>45.5458</v>
      </c>
    </row>
    <row r="51" spans="2:5">
      <c r="B51" s="102" t="s">
        <v>6</v>
      </c>
      <c r="C51" s="15" t="s">
        <v>114</v>
      </c>
      <c r="D51" s="207">
        <v>44.446599999999997</v>
      </c>
      <c r="E51" s="75">
        <v>45.451799999999999</v>
      </c>
    </row>
    <row r="52" spans="2:5">
      <c r="B52" s="102" t="s">
        <v>8</v>
      </c>
      <c r="C52" s="15" t="s">
        <v>115</v>
      </c>
      <c r="D52" s="207">
        <v>54.7348</v>
      </c>
      <c r="E52" s="75">
        <v>52.151400000000002</v>
      </c>
    </row>
    <row r="53" spans="2:5" ht="12.75" customHeight="1" thickBot="1">
      <c r="B53" s="103" t="s">
        <v>9</v>
      </c>
      <c r="C53" s="17" t="s">
        <v>41</v>
      </c>
      <c r="D53" s="209">
        <v>45.5458</v>
      </c>
      <c r="E53" s="233">
        <v>52.151400000000002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6.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41088497.159999996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E12</f>
        <v>41088497.159999996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v>0</v>
      </c>
      <c r="E72" s="119">
        <v>0</v>
      </c>
    </row>
    <row r="73" spans="2:5">
      <c r="B73" s="132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0" t="s">
        <v>64</v>
      </c>
      <c r="C74" s="121" t="s">
        <v>66</v>
      </c>
      <c r="D74" s="122">
        <f>D58-D73</f>
        <v>41088497.159999996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v>0</v>
      </c>
      <c r="E75" s="79">
        <v>0</v>
      </c>
    </row>
    <row r="76" spans="2:5">
      <c r="B76" s="102" t="s">
        <v>6</v>
      </c>
      <c r="C76" s="15" t="s">
        <v>119</v>
      </c>
      <c r="D76" s="78">
        <f>D74</f>
        <v>41088497.159999996</v>
      </c>
      <c r="E76" s="79">
        <f>E74</f>
        <v>1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6" right="0.75" top="0.62" bottom="0.61" header="0.5" footer="0.5"/>
  <pageSetup paperSize="9" scale="70" orientation="portrait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2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47"/>
      <c r="C4" s="147"/>
      <c r="D4" s="147"/>
      <c r="E4" s="147"/>
    </row>
    <row r="5" spans="2:7" ht="21" customHeight="1">
      <c r="B5" s="358" t="s">
        <v>1</v>
      </c>
      <c r="C5" s="358"/>
      <c r="D5" s="358"/>
      <c r="E5" s="358"/>
    </row>
    <row r="6" spans="2:7" ht="14.25" customHeight="1">
      <c r="B6" s="359" t="s">
        <v>79</v>
      </c>
      <c r="C6" s="359"/>
      <c r="D6" s="359"/>
      <c r="E6" s="359"/>
    </row>
    <row r="7" spans="2:7" ht="14.25">
      <c r="B7" s="241"/>
      <c r="C7" s="241"/>
      <c r="D7" s="241"/>
      <c r="E7" s="241"/>
    </row>
    <row r="8" spans="2:7" ht="13.5" customHeight="1">
      <c r="B8" s="361" t="s">
        <v>18</v>
      </c>
      <c r="C8" s="361"/>
      <c r="D8" s="361"/>
      <c r="E8" s="361"/>
    </row>
    <row r="9" spans="2:7" ht="16.5" customHeight="1" thickBot="1">
      <c r="B9" s="360" t="s">
        <v>103</v>
      </c>
      <c r="C9" s="360"/>
      <c r="D9" s="360"/>
      <c r="E9" s="360"/>
    </row>
    <row r="10" spans="2:7" ht="13.5" thickBot="1">
      <c r="B10" s="242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31352304.68</v>
      </c>
      <c r="E11" s="244">
        <f>SUM(E12:E14)</f>
        <v>34774696.240000002</v>
      </c>
    </row>
    <row r="12" spans="2:7">
      <c r="B12" s="174" t="s">
        <v>4</v>
      </c>
      <c r="C12" s="175" t="s">
        <v>5</v>
      </c>
      <c r="D12" s="283">
        <v>31352304.68</v>
      </c>
      <c r="E12" s="304">
        <f>34774864.09-167.85</f>
        <v>34774696.240000002</v>
      </c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customHeight="1" thickBot="1">
      <c r="B21" s="365" t="s">
        <v>110</v>
      </c>
      <c r="C21" s="375"/>
      <c r="D21" s="247">
        <v>31352304.68</v>
      </c>
      <c r="E21" s="148">
        <f>E11-E17</f>
        <v>34774696.240000002</v>
      </c>
      <c r="F21" s="77"/>
    </row>
    <row r="22" spans="2:6">
      <c r="B22" s="3"/>
      <c r="C22" s="7"/>
      <c r="D22" s="8"/>
      <c r="E22" s="8"/>
    </row>
    <row r="23" spans="2:6" ht="13.5" customHeight="1">
      <c r="B23" s="361" t="s">
        <v>104</v>
      </c>
      <c r="C23" s="361"/>
      <c r="D23" s="361"/>
      <c r="E23" s="361"/>
    </row>
    <row r="24" spans="2:6" ht="15.75" customHeight="1" thickBot="1">
      <c r="B24" s="360" t="s">
        <v>105</v>
      </c>
      <c r="C24" s="360"/>
      <c r="D24" s="360"/>
      <c r="E24" s="360"/>
    </row>
    <row r="25" spans="2:6" ht="13.5" thickBot="1">
      <c r="B25" s="242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37772087.049999997</v>
      </c>
      <c r="E26" s="231">
        <f>D21</f>
        <v>31352304.68</v>
      </c>
    </row>
    <row r="27" spans="2:6">
      <c r="B27" s="9" t="s">
        <v>17</v>
      </c>
      <c r="C27" s="10" t="s">
        <v>111</v>
      </c>
      <c r="D27" s="202">
        <v>-2028356.48</v>
      </c>
      <c r="E27" s="224">
        <f>E28-E32</f>
        <v>-1439849.94</v>
      </c>
      <c r="F27" s="71"/>
    </row>
    <row r="28" spans="2:6">
      <c r="B28" s="9" t="s">
        <v>18</v>
      </c>
      <c r="C28" s="10" t="s">
        <v>19</v>
      </c>
      <c r="D28" s="202">
        <v>3025408.82</v>
      </c>
      <c r="E28" s="225">
        <v>2633976.62</v>
      </c>
      <c r="F28" s="71"/>
    </row>
    <row r="29" spans="2:6">
      <c r="B29" s="182" t="s">
        <v>4</v>
      </c>
      <c r="C29" s="175" t="s">
        <v>20</v>
      </c>
      <c r="D29" s="203">
        <v>3025408.82</v>
      </c>
      <c r="E29" s="226">
        <v>2633976.62</v>
      </c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/>
      <c r="E31" s="226"/>
      <c r="F31" s="71"/>
    </row>
    <row r="32" spans="2:6">
      <c r="B32" s="92" t="s">
        <v>23</v>
      </c>
      <c r="C32" s="11" t="s">
        <v>24</v>
      </c>
      <c r="D32" s="202">
        <v>5053765.3</v>
      </c>
      <c r="E32" s="225">
        <f>SUM(E33:E39)</f>
        <v>4073826.56</v>
      </c>
      <c r="F32" s="71"/>
    </row>
    <row r="33" spans="2:6">
      <c r="B33" s="182" t="s">
        <v>4</v>
      </c>
      <c r="C33" s="175" t="s">
        <v>25</v>
      </c>
      <c r="D33" s="203">
        <v>5053765.3</v>
      </c>
      <c r="E33" s="226">
        <f>4132443.54-58616.93-0.05</f>
        <v>4073826.56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/>
      <c r="E35" s="226"/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/>
      <c r="E37" s="226"/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/>
      <c r="E39" s="227"/>
      <c r="F39" s="71"/>
    </row>
    <row r="40" spans="2:6" ht="13.5" thickBot="1">
      <c r="B40" s="97" t="s">
        <v>35</v>
      </c>
      <c r="C40" s="98" t="s">
        <v>36</v>
      </c>
      <c r="D40" s="205">
        <v>-4391425.8899999997</v>
      </c>
      <c r="E40" s="232">
        <v>4862241.5</v>
      </c>
    </row>
    <row r="41" spans="2:6" ht="13.5" thickBot="1">
      <c r="B41" s="99" t="s">
        <v>37</v>
      </c>
      <c r="C41" s="100" t="s">
        <v>38</v>
      </c>
      <c r="D41" s="206">
        <v>31352304.68</v>
      </c>
      <c r="E41" s="148">
        <f>E26+E27+E40</f>
        <v>34774696.239999995</v>
      </c>
      <c r="F41" s="77"/>
    </row>
    <row r="42" spans="2:6">
      <c r="B42" s="93"/>
      <c r="C42" s="93"/>
      <c r="D42" s="94"/>
      <c r="E42" s="94"/>
      <c r="F42" s="77"/>
    </row>
    <row r="43" spans="2:6" ht="13.5" customHeight="1">
      <c r="B43" s="362" t="s">
        <v>60</v>
      </c>
      <c r="C43" s="362"/>
      <c r="D43" s="362"/>
      <c r="E43" s="362"/>
    </row>
    <row r="44" spans="2:6" ht="18" customHeight="1" thickBot="1">
      <c r="B44" s="360" t="s">
        <v>121</v>
      </c>
      <c r="C44" s="360"/>
      <c r="D44" s="360"/>
      <c r="E44" s="360"/>
    </row>
    <row r="45" spans="2:6" ht="13.5" thickBot="1">
      <c r="B45" s="242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706206.44039999996</v>
      </c>
      <c r="E47" s="149">
        <v>667678.32579000003</v>
      </c>
    </row>
    <row r="48" spans="2:6">
      <c r="B48" s="187" t="s">
        <v>6</v>
      </c>
      <c r="C48" s="188" t="s">
        <v>41</v>
      </c>
      <c r="D48" s="207">
        <v>667678.32579000003</v>
      </c>
      <c r="E48" s="149">
        <v>637508.68480000005</v>
      </c>
    </row>
    <row r="49" spans="2:5">
      <c r="B49" s="120" t="s">
        <v>23</v>
      </c>
      <c r="C49" s="124" t="s">
        <v>113</v>
      </c>
      <c r="D49" s="208"/>
      <c r="E49" s="149"/>
    </row>
    <row r="50" spans="2:5">
      <c r="B50" s="185" t="s">
        <v>4</v>
      </c>
      <c r="C50" s="186" t="s">
        <v>40</v>
      </c>
      <c r="D50" s="207">
        <v>53.485900000000001</v>
      </c>
      <c r="E50" s="149">
        <v>46.9572</v>
      </c>
    </row>
    <row r="51" spans="2:5">
      <c r="B51" s="185" t="s">
        <v>6</v>
      </c>
      <c r="C51" s="186" t="s">
        <v>114</v>
      </c>
      <c r="D51" s="207">
        <v>45.5413</v>
      </c>
      <c r="E51" s="75">
        <v>46.864200000000004</v>
      </c>
    </row>
    <row r="52" spans="2:5">
      <c r="B52" s="185" t="s">
        <v>8</v>
      </c>
      <c r="C52" s="186" t="s">
        <v>115</v>
      </c>
      <c r="D52" s="207">
        <v>57.652299999999997</v>
      </c>
      <c r="E52" s="75">
        <v>54.547800000000002</v>
      </c>
    </row>
    <row r="53" spans="2:5" ht="13.5" customHeight="1" thickBot="1">
      <c r="B53" s="189" t="s">
        <v>9</v>
      </c>
      <c r="C53" s="190" t="s">
        <v>41</v>
      </c>
      <c r="D53" s="209">
        <v>46.9572</v>
      </c>
      <c r="E53" s="233">
        <v>54.547800000000002</v>
      </c>
    </row>
    <row r="54" spans="2:5">
      <c r="B54" s="109"/>
      <c r="C54" s="110"/>
      <c r="D54" s="111"/>
      <c r="E54" s="111"/>
    </row>
    <row r="55" spans="2:5" ht="13.5" customHeight="1">
      <c r="B55" s="362" t="s">
        <v>62</v>
      </c>
      <c r="C55" s="362"/>
      <c r="D55" s="362"/>
      <c r="E55" s="362"/>
    </row>
    <row r="56" spans="2:5" ht="18" customHeight="1" thickBot="1">
      <c r="B56" s="360" t="s">
        <v>116</v>
      </c>
      <c r="C56" s="360"/>
      <c r="D56" s="360"/>
      <c r="E56" s="360"/>
    </row>
    <row r="57" spans="2:5" ht="23.25" customHeight="1" thickBot="1">
      <c r="B57" s="376" t="s">
        <v>42</v>
      </c>
      <c r="C57" s="377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34774696.240000002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3.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E12</f>
        <v>34774696.240000002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0" t="s">
        <v>64</v>
      </c>
      <c r="C74" s="121" t="s">
        <v>66</v>
      </c>
      <c r="D74" s="122">
        <f>D58-D73</f>
        <v>34774696.240000002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v>0</v>
      </c>
      <c r="E75" s="79">
        <v>0</v>
      </c>
    </row>
    <row r="76" spans="2:5">
      <c r="B76" s="102" t="s">
        <v>6</v>
      </c>
      <c r="C76" s="15" t="s">
        <v>119</v>
      </c>
      <c r="D76" s="78">
        <f>D74</f>
        <v>34774696.240000002</v>
      </c>
      <c r="E76" s="79">
        <f>E74</f>
        <v>1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75" right="0.75" top="0.71" bottom="0.63" header="0.5" footer="0.5"/>
  <pageSetup paperSize="9" scale="70" orientation="portrait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3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47"/>
      <c r="C4" s="147"/>
      <c r="D4" s="147"/>
      <c r="E4" s="147"/>
    </row>
    <row r="5" spans="2:7" ht="21" customHeight="1">
      <c r="B5" s="358" t="s">
        <v>1</v>
      </c>
      <c r="C5" s="358"/>
      <c r="D5" s="358"/>
      <c r="E5" s="358"/>
    </row>
    <row r="6" spans="2:7" ht="14.25" customHeight="1">
      <c r="B6" s="359" t="s">
        <v>80</v>
      </c>
      <c r="C6" s="359"/>
      <c r="D6" s="359"/>
      <c r="E6" s="359"/>
    </row>
    <row r="7" spans="2:7" ht="14.25">
      <c r="B7" s="241"/>
      <c r="C7" s="241"/>
      <c r="D7" s="241"/>
      <c r="E7" s="241"/>
    </row>
    <row r="8" spans="2:7" ht="13.5" customHeight="1">
      <c r="B8" s="361" t="s">
        <v>18</v>
      </c>
      <c r="C8" s="361"/>
      <c r="D8" s="361"/>
      <c r="E8" s="361"/>
    </row>
    <row r="9" spans="2:7" ht="16.5" customHeight="1" thickBot="1">
      <c r="B9" s="360" t="s">
        <v>103</v>
      </c>
      <c r="C9" s="360"/>
      <c r="D9" s="360"/>
      <c r="E9" s="360"/>
    </row>
    <row r="10" spans="2:7" ht="13.5" thickBot="1">
      <c r="B10" s="242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29619334.02</v>
      </c>
      <c r="E11" s="244">
        <f>SUM(E12:E14)</f>
        <v>33465586.559999999</v>
      </c>
    </row>
    <row r="12" spans="2:7">
      <c r="B12" s="106" t="s">
        <v>4</v>
      </c>
      <c r="C12" s="6" t="s">
        <v>5</v>
      </c>
      <c r="D12" s="283">
        <v>29619334.02</v>
      </c>
      <c r="E12" s="304">
        <f>33465926-339.44</f>
        <v>33465586.559999999</v>
      </c>
    </row>
    <row r="13" spans="2:7">
      <c r="B13" s="106" t="s">
        <v>6</v>
      </c>
      <c r="C13" s="68" t="s">
        <v>7</v>
      </c>
      <c r="D13" s="276"/>
      <c r="E13" s="305"/>
    </row>
    <row r="14" spans="2:7">
      <c r="B14" s="106" t="s">
        <v>8</v>
      </c>
      <c r="C14" s="68" t="s">
        <v>10</v>
      </c>
      <c r="D14" s="276"/>
      <c r="E14" s="305"/>
    </row>
    <row r="15" spans="2:7">
      <c r="B15" s="106" t="s">
        <v>106</v>
      </c>
      <c r="C15" s="68" t="s">
        <v>11</v>
      </c>
      <c r="D15" s="276"/>
      <c r="E15" s="305"/>
    </row>
    <row r="16" spans="2:7">
      <c r="B16" s="107" t="s">
        <v>107</v>
      </c>
      <c r="C16" s="91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06" t="s">
        <v>4</v>
      </c>
      <c r="C18" s="6" t="s">
        <v>11</v>
      </c>
      <c r="D18" s="278"/>
      <c r="E18" s="306"/>
    </row>
    <row r="19" spans="2:6" ht="15" customHeight="1">
      <c r="B19" s="106" t="s">
        <v>6</v>
      </c>
      <c r="C19" s="68" t="s">
        <v>108</v>
      </c>
      <c r="D19" s="276"/>
      <c r="E19" s="305"/>
    </row>
    <row r="20" spans="2:6" ht="13.5" thickBot="1">
      <c r="B20" s="108" t="s">
        <v>8</v>
      </c>
      <c r="C20" s="69" t="s">
        <v>14</v>
      </c>
      <c r="D20" s="245"/>
      <c r="E20" s="246"/>
    </row>
    <row r="21" spans="2:6" ht="13.5" customHeight="1" thickBot="1">
      <c r="B21" s="365" t="s">
        <v>110</v>
      </c>
      <c r="C21" s="375"/>
      <c r="D21" s="247">
        <v>29619334.02</v>
      </c>
      <c r="E21" s="148">
        <f>E11-E17</f>
        <v>33465586.559999999</v>
      </c>
      <c r="F21" s="77"/>
    </row>
    <row r="22" spans="2:6">
      <c r="B22" s="3"/>
      <c r="C22" s="7"/>
      <c r="D22" s="8"/>
      <c r="E22" s="8"/>
    </row>
    <row r="23" spans="2:6" ht="13.5" customHeight="1">
      <c r="B23" s="361" t="s">
        <v>104</v>
      </c>
      <c r="C23" s="361"/>
      <c r="D23" s="361"/>
      <c r="E23" s="361"/>
    </row>
    <row r="24" spans="2:6" ht="15.75" customHeight="1" thickBot="1">
      <c r="B24" s="360" t="s">
        <v>105</v>
      </c>
      <c r="C24" s="360"/>
      <c r="D24" s="360"/>
      <c r="E24" s="360"/>
    </row>
    <row r="25" spans="2:6" ht="13.5" thickBot="1">
      <c r="B25" s="242"/>
      <c r="C25" s="5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34368672.130000003</v>
      </c>
      <c r="E26" s="231">
        <f>D21</f>
        <v>29619334.02</v>
      </c>
    </row>
    <row r="27" spans="2:6">
      <c r="B27" s="9" t="s">
        <v>17</v>
      </c>
      <c r="C27" s="10" t="s">
        <v>111</v>
      </c>
      <c r="D27" s="202">
        <v>-649480.56999999983</v>
      </c>
      <c r="E27" s="224">
        <f>E28-E32</f>
        <v>-814897.6400000006</v>
      </c>
      <c r="F27" s="71"/>
    </row>
    <row r="28" spans="2:6">
      <c r="B28" s="9" t="s">
        <v>18</v>
      </c>
      <c r="C28" s="10" t="s">
        <v>19</v>
      </c>
      <c r="D28" s="202">
        <v>2870191.35</v>
      </c>
      <c r="E28" s="225">
        <v>2547975.38</v>
      </c>
      <c r="F28" s="71"/>
    </row>
    <row r="29" spans="2:6">
      <c r="B29" s="104" t="s">
        <v>4</v>
      </c>
      <c r="C29" s="6" t="s">
        <v>20</v>
      </c>
      <c r="D29" s="203">
        <v>2870191.35</v>
      </c>
      <c r="E29" s="226">
        <v>2547975.38</v>
      </c>
      <c r="F29" s="71"/>
    </row>
    <row r="30" spans="2:6">
      <c r="B30" s="104" t="s">
        <v>6</v>
      </c>
      <c r="C30" s="6" t="s">
        <v>21</v>
      </c>
      <c r="D30" s="203"/>
      <c r="E30" s="226"/>
      <c r="F30" s="71"/>
    </row>
    <row r="31" spans="2:6">
      <c r="B31" s="104" t="s">
        <v>8</v>
      </c>
      <c r="C31" s="6" t="s">
        <v>22</v>
      </c>
      <c r="D31" s="203"/>
      <c r="E31" s="226"/>
      <c r="F31" s="71"/>
    </row>
    <row r="32" spans="2:6">
      <c r="B32" s="92" t="s">
        <v>23</v>
      </c>
      <c r="C32" s="11" t="s">
        <v>24</v>
      </c>
      <c r="D32" s="202">
        <v>3519671.92</v>
      </c>
      <c r="E32" s="225">
        <f>SUM(E33:E39)</f>
        <v>3362873.0200000005</v>
      </c>
      <c r="F32" s="71"/>
    </row>
    <row r="33" spans="2:6">
      <c r="B33" s="104" t="s">
        <v>4</v>
      </c>
      <c r="C33" s="6" t="s">
        <v>25</v>
      </c>
      <c r="D33" s="203">
        <v>3519671.92</v>
      </c>
      <c r="E33" s="226">
        <f>3382073.41-19200.38-0.01</f>
        <v>3362873.0200000005</v>
      </c>
      <c r="F33" s="71"/>
    </row>
    <row r="34" spans="2:6">
      <c r="B34" s="104" t="s">
        <v>6</v>
      </c>
      <c r="C34" s="6" t="s">
        <v>26</v>
      </c>
      <c r="D34" s="203"/>
      <c r="E34" s="226"/>
      <c r="F34" s="71"/>
    </row>
    <row r="35" spans="2:6">
      <c r="B35" s="104" t="s">
        <v>8</v>
      </c>
      <c r="C35" s="6" t="s">
        <v>27</v>
      </c>
      <c r="D35" s="203"/>
      <c r="E35" s="226"/>
      <c r="F35" s="71"/>
    </row>
    <row r="36" spans="2:6">
      <c r="B36" s="104" t="s">
        <v>9</v>
      </c>
      <c r="C36" s="6" t="s">
        <v>28</v>
      </c>
      <c r="D36" s="203"/>
      <c r="E36" s="226"/>
      <c r="F36" s="71"/>
    </row>
    <row r="37" spans="2:6" ht="25.5">
      <c r="B37" s="104" t="s">
        <v>29</v>
      </c>
      <c r="C37" s="6" t="s">
        <v>30</v>
      </c>
      <c r="D37" s="203"/>
      <c r="E37" s="226"/>
      <c r="F37" s="71"/>
    </row>
    <row r="38" spans="2:6">
      <c r="B38" s="104" t="s">
        <v>31</v>
      </c>
      <c r="C38" s="6" t="s">
        <v>32</v>
      </c>
      <c r="D38" s="203"/>
      <c r="E38" s="226"/>
      <c r="F38" s="71"/>
    </row>
    <row r="39" spans="2:6">
      <c r="B39" s="105" t="s">
        <v>33</v>
      </c>
      <c r="C39" s="12" t="s">
        <v>34</v>
      </c>
      <c r="D39" s="204"/>
      <c r="E39" s="227"/>
      <c r="F39" s="71"/>
    </row>
    <row r="40" spans="2:6" ht="13.5" thickBot="1">
      <c r="B40" s="97" t="s">
        <v>35</v>
      </c>
      <c r="C40" s="98" t="s">
        <v>36</v>
      </c>
      <c r="D40" s="205">
        <v>-4099857.54</v>
      </c>
      <c r="E40" s="232">
        <v>4661150.18</v>
      </c>
    </row>
    <row r="41" spans="2:6" ht="13.5" thickBot="1">
      <c r="B41" s="99" t="s">
        <v>37</v>
      </c>
      <c r="C41" s="100" t="s">
        <v>38</v>
      </c>
      <c r="D41" s="206">
        <v>29619334.020000003</v>
      </c>
      <c r="E41" s="148">
        <f>E26+E27+E40</f>
        <v>33465586.559999999</v>
      </c>
      <c r="F41" s="77"/>
    </row>
    <row r="42" spans="2:6">
      <c r="B42" s="93"/>
      <c r="C42" s="93"/>
      <c r="D42" s="94"/>
      <c r="E42" s="94"/>
      <c r="F42" s="77"/>
    </row>
    <row r="43" spans="2:6" ht="13.5" customHeight="1">
      <c r="B43" s="362" t="s">
        <v>60</v>
      </c>
      <c r="C43" s="362"/>
      <c r="D43" s="362"/>
      <c r="E43" s="362"/>
    </row>
    <row r="44" spans="2:6" ht="18" customHeight="1" thickBot="1">
      <c r="B44" s="360" t="s">
        <v>121</v>
      </c>
      <c r="C44" s="360"/>
      <c r="D44" s="360"/>
      <c r="E44" s="360"/>
    </row>
    <row r="45" spans="2:6" ht="13.5" thickBot="1">
      <c r="B45" s="242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7">
        <v>641234.08522999997</v>
      </c>
      <c r="E47" s="149">
        <v>628289.66501999996</v>
      </c>
    </row>
    <row r="48" spans="2:6">
      <c r="B48" s="123" t="s">
        <v>6</v>
      </c>
      <c r="C48" s="22" t="s">
        <v>41</v>
      </c>
      <c r="D48" s="207">
        <v>628289.66501999996</v>
      </c>
      <c r="E48" s="149">
        <v>611651.35759999999</v>
      </c>
    </row>
    <row r="49" spans="2:5">
      <c r="B49" s="120" t="s">
        <v>23</v>
      </c>
      <c r="C49" s="124" t="s">
        <v>113</v>
      </c>
      <c r="D49" s="208"/>
      <c r="E49" s="149"/>
    </row>
    <row r="50" spans="2:5">
      <c r="B50" s="102" t="s">
        <v>4</v>
      </c>
      <c r="C50" s="15" t="s">
        <v>40</v>
      </c>
      <c r="D50" s="207">
        <v>53.597700000000003</v>
      </c>
      <c r="E50" s="149">
        <v>47.142800000000001</v>
      </c>
    </row>
    <row r="51" spans="2:5">
      <c r="B51" s="102" t="s">
        <v>6</v>
      </c>
      <c r="C51" s="15" t="s">
        <v>114</v>
      </c>
      <c r="D51" s="207">
        <v>45.7029</v>
      </c>
      <c r="E51" s="149">
        <v>47.043900000000001</v>
      </c>
    </row>
    <row r="52" spans="2:5">
      <c r="B52" s="102" t="s">
        <v>8</v>
      </c>
      <c r="C52" s="15" t="s">
        <v>115</v>
      </c>
      <c r="D52" s="207">
        <v>57.401200000000003</v>
      </c>
      <c r="E52" s="75">
        <v>54.713500000000003</v>
      </c>
    </row>
    <row r="53" spans="2:5" ht="13.5" customHeight="1" thickBot="1">
      <c r="B53" s="103" t="s">
        <v>9</v>
      </c>
      <c r="C53" s="17" t="s">
        <v>41</v>
      </c>
      <c r="D53" s="209">
        <v>47.142800000000001</v>
      </c>
      <c r="E53" s="233">
        <v>54.713500000000003</v>
      </c>
    </row>
    <row r="54" spans="2:5">
      <c r="B54" s="109"/>
      <c r="C54" s="110"/>
      <c r="D54" s="111"/>
      <c r="E54" s="111"/>
    </row>
    <row r="55" spans="2:5" ht="13.5" customHeight="1">
      <c r="B55" s="362" t="s">
        <v>62</v>
      </c>
      <c r="C55" s="362"/>
      <c r="D55" s="362"/>
      <c r="E55" s="362"/>
    </row>
    <row r="56" spans="2:5" ht="15.75" customHeight="1" thickBot="1">
      <c r="B56" s="360" t="s">
        <v>116</v>
      </c>
      <c r="C56" s="360"/>
      <c r="D56" s="360"/>
      <c r="E56" s="360"/>
    </row>
    <row r="57" spans="2:5" ht="23.25" customHeight="1" thickBot="1">
      <c r="B57" s="376" t="s">
        <v>42</v>
      </c>
      <c r="C57" s="377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33465586.559999999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E12</f>
        <v>33465586.559999999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0" t="s">
        <v>64</v>
      </c>
      <c r="C74" s="121" t="s">
        <v>66</v>
      </c>
      <c r="D74" s="122">
        <f>D58-D73</f>
        <v>33465586.559999999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v>0</v>
      </c>
      <c r="E75" s="79">
        <v>0</v>
      </c>
    </row>
    <row r="76" spans="2:5">
      <c r="B76" s="102" t="s">
        <v>6</v>
      </c>
      <c r="C76" s="15" t="s">
        <v>119</v>
      </c>
      <c r="D76" s="78">
        <f>D74</f>
        <v>33465586.559999999</v>
      </c>
      <c r="E76" s="79">
        <f>E74</f>
        <v>1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61" right="0.75" top="0.56000000000000005" bottom="0.5" header="0.5" footer="0.5"/>
  <pageSetup paperSize="9" scale="70" orientation="portrait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4"/>
  <dimension ref="A1:F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138"/>
      <c r="C4" s="138"/>
      <c r="D4" s="138"/>
      <c r="E4" s="138"/>
    </row>
    <row r="5" spans="2:5" ht="21" customHeight="1">
      <c r="B5" s="358" t="s">
        <v>1</v>
      </c>
      <c r="C5" s="358"/>
      <c r="D5" s="358"/>
      <c r="E5" s="358"/>
    </row>
    <row r="6" spans="2:5" ht="14.25">
      <c r="B6" s="359" t="s">
        <v>81</v>
      </c>
      <c r="C6" s="359"/>
      <c r="D6" s="359"/>
      <c r="E6" s="359"/>
    </row>
    <row r="7" spans="2:5" ht="14.25">
      <c r="B7" s="136"/>
      <c r="C7" s="136"/>
      <c r="D7" s="136"/>
      <c r="E7" s="136"/>
    </row>
    <row r="8" spans="2:5" ht="13.5">
      <c r="B8" s="361" t="s">
        <v>18</v>
      </c>
      <c r="C8" s="363"/>
      <c r="D8" s="363"/>
      <c r="E8" s="363"/>
    </row>
    <row r="9" spans="2:5" ht="16.5" thickBot="1">
      <c r="B9" s="360" t="s">
        <v>103</v>
      </c>
      <c r="C9" s="360"/>
      <c r="D9" s="360"/>
      <c r="E9" s="360"/>
    </row>
    <row r="10" spans="2:5" ht="13.5" thickBot="1">
      <c r="B10" s="137"/>
      <c r="C10" s="76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28" t="s">
        <v>109</v>
      </c>
      <c r="D11" s="243">
        <v>23196988.809999999</v>
      </c>
      <c r="E11" s="244">
        <f>SUM(E12:E14)</f>
        <v>28398060.829999998</v>
      </c>
    </row>
    <row r="12" spans="2:5">
      <c r="B12" s="174" t="s">
        <v>4</v>
      </c>
      <c r="C12" s="175" t="s">
        <v>5</v>
      </c>
      <c r="D12" s="283">
        <v>23196988.809999999</v>
      </c>
      <c r="E12" s="304">
        <f>28415225.18-17164.35</f>
        <v>28398060.829999998</v>
      </c>
    </row>
    <row r="13" spans="2:5">
      <c r="B13" s="174" t="s">
        <v>6</v>
      </c>
      <c r="C13" s="176" t="s">
        <v>7</v>
      </c>
      <c r="D13" s="276"/>
      <c r="E13" s="305"/>
    </row>
    <row r="14" spans="2:5">
      <c r="B14" s="174" t="s">
        <v>8</v>
      </c>
      <c r="C14" s="176" t="s">
        <v>10</v>
      </c>
      <c r="D14" s="276"/>
      <c r="E14" s="305">
        <f>E15</f>
        <v>0</v>
      </c>
    </row>
    <row r="15" spans="2:5">
      <c r="B15" s="174" t="s">
        <v>106</v>
      </c>
      <c r="C15" s="176" t="s">
        <v>11</v>
      </c>
      <c r="D15" s="276"/>
      <c r="E15" s="305"/>
    </row>
    <row r="16" spans="2:5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>
        <f>E18</f>
        <v>0</v>
      </c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23196988.809999999</v>
      </c>
      <c r="E21" s="148">
        <f>E11-E17</f>
        <v>28398060.829999998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172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28695907.140000001</v>
      </c>
      <c r="E26" s="231">
        <f>D21</f>
        <v>23196988.809999999</v>
      </c>
    </row>
    <row r="27" spans="2:6">
      <c r="B27" s="9" t="s">
        <v>17</v>
      </c>
      <c r="C27" s="10" t="s">
        <v>111</v>
      </c>
      <c r="D27" s="202">
        <v>-1333829.1400000001</v>
      </c>
      <c r="E27" s="224">
        <f>E28-E32</f>
        <v>-883355.57999999984</v>
      </c>
      <c r="F27" s="71"/>
    </row>
    <row r="28" spans="2:6">
      <c r="B28" s="9" t="s">
        <v>18</v>
      </c>
      <c r="C28" s="10" t="s">
        <v>19</v>
      </c>
      <c r="D28" s="202">
        <v>2382796.69</v>
      </c>
      <c r="E28" s="225">
        <v>2086587.53</v>
      </c>
      <c r="F28" s="71"/>
    </row>
    <row r="29" spans="2:6">
      <c r="B29" s="182" t="s">
        <v>4</v>
      </c>
      <c r="C29" s="175" t="s">
        <v>20</v>
      </c>
      <c r="D29" s="203">
        <v>2382796.69</v>
      </c>
      <c r="E29" s="226">
        <v>2086587.53</v>
      </c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/>
      <c r="E31" s="226"/>
      <c r="F31" s="71"/>
    </row>
    <row r="32" spans="2:6">
      <c r="B32" s="92" t="s">
        <v>23</v>
      </c>
      <c r="C32" s="11" t="s">
        <v>24</v>
      </c>
      <c r="D32" s="202">
        <v>3716625.83</v>
      </c>
      <c r="E32" s="225">
        <f>SUM(E33:E39)</f>
        <v>2969943.11</v>
      </c>
      <c r="F32" s="71"/>
    </row>
    <row r="33" spans="2:6">
      <c r="B33" s="182" t="s">
        <v>4</v>
      </c>
      <c r="C33" s="175" t="s">
        <v>25</v>
      </c>
      <c r="D33" s="203">
        <v>3716625.83</v>
      </c>
      <c r="E33" s="226">
        <f>2952778.8+17164.35-0.04</f>
        <v>2969943.11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/>
      <c r="E35" s="226"/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/>
      <c r="E37" s="226"/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/>
      <c r="E39" s="227"/>
      <c r="F39" s="71"/>
    </row>
    <row r="40" spans="2:6" ht="13.5" thickBot="1">
      <c r="B40" s="97" t="s">
        <v>35</v>
      </c>
      <c r="C40" s="98" t="s">
        <v>36</v>
      </c>
      <c r="D40" s="205">
        <v>-4165089.19</v>
      </c>
      <c r="E40" s="232">
        <v>6084427.5999999996</v>
      </c>
    </row>
    <row r="41" spans="2:6" ht="13.5" thickBot="1">
      <c r="B41" s="99" t="s">
        <v>37</v>
      </c>
      <c r="C41" s="100" t="s">
        <v>38</v>
      </c>
      <c r="D41" s="206">
        <v>23196988.809999999</v>
      </c>
      <c r="E41" s="148">
        <f>E26+E27+E40</f>
        <v>28398060.829999998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63"/>
      <c r="D43" s="363"/>
      <c r="E43" s="363"/>
    </row>
    <row r="44" spans="2:6" ht="18" customHeight="1" thickBot="1">
      <c r="B44" s="360" t="s">
        <v>121</v>
      </c>
      <c r="C44" s="364"/>
      <c r="D44" s="364"/>
      <c r="E44" s="364"/>
    </row>
    <row r="45" spans="2:6" ht="13.5" thickBot="1">
      <c r="B45" s="137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7">
        <v>1243231.9602000001</v>
      </c>
      <c r="E47" s="149">
        <v>1180923.0116000001</v>
      </c>
    </row>
    <row r="48" spans="2:6">
      <c r="B48" s="123" t="s">
        <v>6</v>
      </c>
      <c r="C48" s="22" t="s">
        <v>41</v>
      </c>
      <c r="D48" s="207">
        <v>1180923.0116000001</v>
      </c>
      <c r="E48" s="149">
        <v>1139102.8084999998</v>
      </c>
    </row>
    <row r="49" spans="2:5">
      <c r="B49" s="120" t="s">
        <v>23</v>
      </c>
      <c r="C49" s="124" t="s">
        <v>113</v>
      </c>
      <c r="D49" s="208"/>
      <c r="E49" s="149"/>
    </row>
    <row r="50" spans="2:5">
      <c r="B50" s="102" t="s">
        <v>4</v>
      </c>
      <c r="C50" s="15" t="s">
        <v>40</v>
      </c>
      <c r="D50" s="207">
        <v>23.081700000000001</v>
      </c>
      <c r="E50" s="149">
        <v>19.6431</v>
      </c>
    </row>
    <row r="51" spans="2:5">
      <c r="B51" s="102" t="s">
        <v>6</v>
      </c>
      <c r="C51" s="15" t="s">
        <v>114</v>
      </c>
      <c r="D51" s="207">
        <v>18.7941</v>
      </c>
      <c r="E51" s="149">
        <v>19.622700000000002</v>
      </c>
    </row>
    <row r="52" spans="2:5">
      <c r="B52" s="102" t="s">
        <v>8</v>
      </c>
      <c r="C52" s="15" t="s">
        <v>115</v>
      </c>
      <c r="D52" s="207">
        <v>24.869499999999999</v>
      </c>
      <c r="E52" s="75">
        <v>25.022400000000001</v>
      </c>
    </row>
    <row r="53" spans="2:5" ht="12.75" customHeight="1" thickBot="1">
      <c r="B53" s="103" t="s">
        <v>9</v>
      </c>
      <c r="C53" s="17" t="s">
        <v>41</v>
      </c>
      <c r="D53" s="209">
        <v>19.6431</v>
      </c>
      <c r="E53" s="233">
        <v>24.930199999999999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5.7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28398060.829999998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3.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E12</f>
        <v>28398060.829999998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0" t="s">
        <v>64</v>
      </c>
      <c r="C74" s="121" t="s">
        <v>66</v>
      </c>
      <c r="D74" s="122">
        <f>D58-D73</f>
        <v>28398060.829999998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v>0</v>
      </c>
      <c r="E75" s="79">
        <v>0</v>
      </c>
    </row>
    <row r="76" spans="2:5">
      <c r="B76" s="102" t="s">
        <v>6</v>
      </c>
      <c r="C76" s="15" t="s">
        <v>119</v>
      </c>
      <c r="D76" s="78">
        <f>D74</f>
        <v>28398060.829999998</v>
      </c>
      <c r="E76" s="79">
        <f>E74</f>
        <v>1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9" right="0.75" top="0.61" bottom="0.51" header="0.5" footer="0.5"/>
  <pageSetup paperSize="9" scale="70" orientation="portrait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5"/>
  <dimension ref="A1:G81"/>
  <sheetViews>
    <sheetView zoomScale="80" zoomScaleNormal="80" workbookViewId="0">
      <selection activeCell="O22" sqref="O22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38"/>
      <c r="C4" s="138"/>
      <c r="D4" s="138"/>
      <c r="E4" s="138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82</v>
      </c>
      <c r="C6" s="359"/>
      <c r="D6" s="359"/>
      <c r="E6" s="359"/>
    </row>
    <row r="7" spans="2:7" ht="14.25">
      <c r="B7" s="136"/>
      <c r="C7" s="136"/>
      <c r="D7" s="136"/>
      <c r="E7" s="136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37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17650084.16</v>
      </c>
      <c r="E11" s="244">
        <f>SUM(E12:E14)</f>
        <v>20469519.77</v>
      </c>
    </row>
    <row r="12" spans="2:7">
      <c r="B12" s="106" t="s">
        <v>4</v>
      </c>
      <c r="C12" s="6" t="s">
        <v>5</v>
      </c>
      <c r="D12" s="283">
        <v>17650084.16</v>
      </c>
      <c r="E12" s="304">
        <v>20469519.77</v>
      </c>
    </row>
    <row r="13" spans="2:7">
      <c r="B13" s="106" t="s">
        <v>6</v>
      </c>
      <c r="C13" s="68" t="s">
        <v>7</v>
      </c>
      <c r="D13" s="276"/>
      <c r="E13" s="305"/>
    </row>
    <row r="14" spans="2:7">
      <c r="B14" s="106" t="s">
        <v>8</v>
      </c>
      <c r="C14" s="68" t="s">
        <v>10</v>
      </c>
      <c r="D14" s="276"/>
      <c r="E14" s="305"/>
    </row>
    <row r="15" spans="2:7">
      <c r="B15" s="106" t="s">
        <v>106</v>
      </c>
      <c r="C15" s="68" t="s">
        <v>11</v>
      </c>
      <c r="D15" s="276"/>
      <c r="E15" s="305"/>
    </row>
    <row r="16" spans="2:7">
      <c r="B16" s="107" t="s">
        <v>107</v>
      </c>
      <c r="C16" s="91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06" t="s">
        <v>4</v>
      </c>
      <c r="C18" s="6" t="s">
        <v>11</v>
      </c>
      <c r="D18" s="278"/>
      <c r="E18" s="306"/>
    </row>
    <row r="19" spans="2:6" ht="15" customHeight="1">
      <c r="B19" s="106" t="s">
        <v>6</v>
      </c>
      <c r="C19" s="68" t="s">
        <v>108</v>
      </c>
      <c r="D19" s="276"/>
      <c r="E19" s="305"/>
    </row>
    <row r="20" spans="2:6" ht="13.5" thickBot="1">
      <c r="B20" s="108" t="s">
        <v>8</v>
      </c>
      <c r="C20" s="69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17650084.16</v>
      </c>
      <c r="E21" s="148">
        <f>E11-E17</f>
        <v>20469519.77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69"/>
      <c r="D23" s="369"/>
      <c r="E23" s="369"/>
    </row>
    <row r="24" spans="2:6" ht="15.75" customHeight="1" thickBot="1">
      <c r="B24" s="360" t="s">
        <v>105</v>
      </c>
      <c r="C24" s="370"/>
      <c r="D24" s="370"/>
      <c r="E24" s="370"/>
    </row>
    <row r="25" spans="2:6" ht="13.5" thickBot="1">
      <c r="B25" s="137"/>
      <c r="C25" s="5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21615083.59</v>
      </c>
      <c r="E26" s="231">
        <f>D21</f>
        <v>17650084.16</v>
      </c>
    </row>
    <row r="27" spans="2:6">
      <c r="B27" s="9" t="s">
        <v>17</v>
      </c>
      <c r="C27" s="10" t="s">
        <v>111</v>
      </c>
      <c r="D27" s="202">
        <v>-864786.28</v>
      </c>
      <c r="E27" s="224">
        <v>-1639427.92</v>
      </c>
      <c r="F27" s="71"/>
    </row>
    <row r="28" spans="2:6">
      <c r="B28" s="9" t="s">
        <v>18</v>
      </c>
      <c r="C28" s="10" t="s">
        <v>19</v>
      </c>
      <c r="D28" s="202">
        <v>1851384.89</v>
      </c>
      <c r="E28" s="225">
        <v>1572003.61</v>
      </c>
      <c r="F28" s="71"/>
    </row>
    <row r="29" spans="2:6">
      <c r="B29" s="104" t="s">
        <v>4</v>
      </c>
      <c r="C29" s="6" t="s">
        <v>20</v>
      </c>
      <c r="D29" s="203">
        <v>1851384.89</v>
      </c>
      <c r="E29" s="226">
        <v>1572003.61</v>
      </c>
      <c r="F29" s="71"/>
    </row>
    <row r="30" spans="2:6">
      <c r="B30" s="104" t="s">
        <v>6</v>
      </c>
      <c r="C30" s="6" t="s">
        <v>21</v>
      </c>
      <c r="D30" s="203"/>
      <c r="E30" s="226"/>
      <c r="F30" s="71"/>
    </row>
    <row r="31" spans="2:6">
      <c r="B31" s="104" t="s">
        <v>8</v>
      </c>
      <c r="C31" s="6" t="s">
        <v>22</v>
      </c>
      <c r="D31" s="203"/>
      <c r="E31" s="226"/>
      <c r="F31" s="71"/>
    </row>
    <row r="32" spans="2:6">
      <c r="B32" s="92" t="s">
        <v>23</v>
      </c>
      <c r="C32" s="11" t="s">
        <v>24</v>
      </c>
      <c r="D32" s="202">
        <v>2716171.17</v>
      </c>
      <c r="E32" s="225">
        <v>3211431.53</v>
      </c>
      <c r="F32" s="71"/>
    </row>
    <row r="33" spans="2:6">
      <c r="B33" s="104" t="s">
        <v>4</v>
      </c>
      <c r="C33" s="6" t="s">
        <v>25</v>
      </c>
      <c r="D33" s="203">
        <v>2716171.17</v>
      </c>
      <c r="E33" s="226">
        <f>3211431.56-0.03</f>
        <v>3211431.5300000003</v>
      </c>
      <c r="F33" s="71"/>
    </row>
    <row r="34" spans="2:6">
      <c r="B34" s="104" t="s">
        <v>6</v>
      </c>
      <c r="C34" s="6" t="s">
        <v>26</v>
      </c>
      <c r="D34" s="203"/>
      <c r="E34" s="226"/>
      <c r="F34" s="71"/>
    </row>
    <row r="35" spans="2:6">
      <c r="B35" s="104" t="s">
        <v>8</v>
      </c>
      <c r="C35" s="6" t="s">
        <v>27</v>
      </c>
      <c r="D35" s="203"/>
      <c r="E35" s="226"/>
      <c r="F35" s="71"/>
    </row>
    <row r="36" spans="2:6">
      <c r="B36" s="104" t="s">
        <v>9</v>
      </c>
      <c r="C36" s="6" t="s">
        <v>28</v>
      </c>
      <c r="D36" s="203"/>
      <c r="E36" s="226"/>
      <c r="F36" s="71"/>
    </row>
    <row r="37" spans="2:6" ht="25.5">
      <c r="B37" s="104" t="s">
        <v>29</v>
      </c>
      <c r="C37" s="6" t="s">
        <v>30</v>
      </c>
      <c r="D37" s="203"/>
      <c r="E37" s="226"/>
      <c r="F37" s="71"/>
    </row>
    <row r="38" spans="2:6">
      <c r="B38" s="104" t="s">
        <v>31</v>
      </c>
      <c r="C38" s="6" t="s">
        <v>32</v>
      </c>
      <c r="D38" s="203"/>
      <c r="E38" s="226"/>
      <c r="F38" s="71"/>
    </row>
    <row r="39" spans="2:6">
      <c r="B39" s="105" t="s">
        <v>33</v>
      </c>
      <c r="C39" s="12" t="s">
        <v>34</v>
      </c>
      <c r="D39" s="204"/>
      <c r="E39" s="227"/>
      <c r="F39" s="71"/>
    </row>
    <row r="40" spans="2:6" ht="13.5" thickBot="1">
      <c r="B40" s="97" t="s">
        <v>35</v>
      </c>
      <c r="C40" s="98" t="s">
        <v>36</v>
      </c>
      <c r="D40" s="205">
        <v>-3100213.15</v>
      </c>
      <c r="E40" s="232">
        <v>4458863.53</v>
      </c>
    </row>
    <row r="41" spans="2:6" ht="13.5" thickBot="1">
      <c r="B41" s="99" t="s">
        <v>37</v>
      </c>
      <c r="C41" s="100" t="s">
        <v>38</v>
      </c>
      <c r="D41" s="206">
        <v>17650084.16</v>
      </c>
      <c r="E41" s="148">
        <f>E26+E27+E40</f>
        <v>20469519.77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63"/>
      <c r="D43" s="363"/>
      <c r="E43" s="363"/>
    </row>
    <row r="44" spans="2:6" ht="18" customHeight="1" thickBot="1">
      <c r="B44" s="360" t="s">
        <v>121</v>
      </c>
      <c r="C44" s="364"/>
      <c r="D44" s="364"/>
      <c r="E44" s="364"/>
    </row>
    <row r="45" spans="2:6" ht="13.5" thickBot="1">
      <c r="B45" s="137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02" t="s">
        <v>4</v>
      </c>
      <c r="C47" s="15" t="s">
        <v>40</v>
      </c>
      <c r="D47" s="207">
        <v>1006106.1348999999</v>
      </c>
      <c r="E47" s="149">
        <v>961663.54249999998</v>
      </c>
    </row>
    <row r="48" spans="2:6">
      <c r="B48" s="123" t="s">
        <v>6</v>
      </c>
      <c r="C48" s="22" t="s">
        <v>41</v>
      </c>
      <c r="D48" s="207">
        <v>961663.54249999998</v>
      </c>
      <c r="E48" s="149">
        <v>881307.81790000002</v>
      </c>
    </row>
    <row r="49" spans="2:5">
      <c r="B49" s="120" t="s">
        <v>23</v>
      </c>
      <c r="C49" s="124" t="s">
        <v>113</v>
      </c>
      <c r="D49" s="208"/>
      <c r="E49" s="149"/>
    </row>
    <row r="50" spans="2:5">
      <c r="B50" s="102" t="s">
        <v>4</v>
      </c>
      <c r="C50" s="15" t="s">
        <v>40</v>
      </c>
      <c r="D50" s="207">
        <v>21.483899999999998</v>
      </c>
      <c r="E50" s="149">
        <v>18.3537</v>
      </c>
    </row>
    <row r="51" spans="2:5">
      <c r="B51" s="102" t="s">
        <v>6</v>
      </c>
      <c r="C51" s="15" t="s">
        <v>114</v>
      </c>
      <c r="D51" s="207">
        <v>17.5746</v>
      </c>
      <c r="E51" s="149">
        <v>18.3292</v>
      </c>
    </row>
    <row r="52" spans="2:5">
      <c r="B52" s="102" t="s">
        <v>8</v>
      </c>
      <c r="C52" s="15" t="s">
        <v>115</v>
      </c>
      <c r="D52" s="207">
        <v>23.139600000000002</v>
      </c>
      <c r="E52" s="75">
        <v>23.314399999999999</v>
      </c>
    </row>
    <row r="53" spans="2:5" ht="13.5" customHeight="1" thickBot="1">
      <c r="B53" s="103" t="s">
        <v>9</v>
      </c>
      <c r="C53" s="17" t="s">
        <v>41</v>
      </c>
      <c r="D53" s="209">
        <v>18.3537</v>
      </c>
      <c r="E53" s="233">
        <v>23.226299999999998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4.25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20469519.77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E12</f>
        <v>20469519.77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0" t="s">
        <v>64</v>
      </c>
      <c r="C74" s="121" t="s">
        <v>66</v>
      </c>
      <c r="D74" s="122">
        <f>D58-D73</f>
        <v>20469519.77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v>0</v>
      </c>
      <c r="E75" s="79">
        <v>0</v>
      </c>
    </row>
    <row r="76" spans="2:5">
      <c r="B76" s="102" t="s">
        <v>6</v>
      </c>
      <c r="C76" s="15" t="s">
        <v>119</v>
      </c>
      <c r="D76" s="78">
        <f>D74</f>
        <v>20469519.77</v>
      </c>
      <c r="E76" s="79">
        <f>E74</f>
        <v>1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61" right="0.75" top="0.68" bottom="0.65" header="0.5" footer="0.5"/>
  <pageSetup paperSize="9" scale="70" orientation="portrait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6"/>
  <dimension ref="A1:F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138"/>
      <c r="C4" s="138"/>
      <c r="D4" s="138"/>
      <c r="E4" s="138"/>
    </row>
    <row r="5" spans="2:5" ht="21" customHeight="1">
      <c r="B5" s="358" t="s">
        <v>1</v>
      </c>
      <c r="C5" s="358"/>
      <c r="D5" s="358"/>
      <c r="E5" s="358"/>
    </row>
    <row r="6" spans="2:5" ht="14.25">
      <c r="B6" s="359" t="s">
        <v>83</v>
      </c>
      <c r="C6" s="359"/>
      <c r="D6" s="359"/>
      <c r="E6" s="359"/>
    </row>
    <row r="7" spans="2:5" ht="14.25">
      <c r="B7" s="136"/>
      <c r="C7" s="136"/>
      <c r="D7" s="136"/>
      <c r="E7" s="136"/>
    </row>
    <row r="8" spans="2:5" ht="13.5">
      <c r="B8" s="361" t="s">
        <v>18</v>
      </c>
      <c r="C8" s="363"/>
      <c r="D8" s="363"/>
      <c r="E8" s="363"/>
    </row>
    <row r="9" spans="2:5" ht="16.5" thickBot="1">
      <c r="B9" s="360" t="s">
        <v>103</v>
      </c>
      <c r="C9" s="360"/>
      <c r="D9" s="360"/>
      <c r="E9" s="360"/>
    </row>
    <row r="10" spans="2:5" ht="13.5" thickBot="1">
      <c r="B10" s="137"/>
      <c r="C10" s="76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28" t="s">
        <v>109</v>
      </c>
      <c r="D11" s="243">
        <v>21472235.779999997</v>
      </c>
      <c r="E11" s="244">
        <f>SUM(E12:E14)</f>
        <v>26495747.399999999</v>
      </c>
    </row>
    <row r="12" spans="2:5">
      <c r="B12" s="174" t="s">
        <v>4</v>
      </c>
      <c r="C12" s="175" t="s">
        <v>5</v>
      </c>
      <c r="D12" s="283">
        <v>21472235.779999997</v>
      </c>
      <c r="E12" s="304">
        <v>26495747.399999999</v>
      </c>
    </row>
    <row r="13" spans="2:5">
      <c r="B13" s="174" t="s">
        <v>6</v>
      </c>
      <c r="C13" s="176" t="s">
        <v>7</v>
      </c>
      <c r="D13" s="276"/>
      <c r="E13" s="305"/>
    </row>
    <row r="14" spans="2:5">
      <c r="B14" s="174" t="s">
        <v>8</v>
      </c>
      <c r="C14" s="176" t="s">
        <v>10</v>
      </c>
      <c r="D14" s="276"/>
      <c r="E14" s="305"/>
    </row>
    <row r="15" spans="2:5">
      <c r="B15" s="174" t="s">
        <v>106</v>
      </c>
      <c r="C15" s="176" t="s">
        <v>11</v>
      </c>
      <c r="D15" s="276"/>
      <c r="E15" s="305"/>
    </row>
    <row r="16" spans="2:5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21472235.779999997</v>
      </c>
      <c r="E21" s="148">
        <f>E11-E17</f>
        <v>26495747.399999999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25471190.969999999</v>
      </c>
      <c r="E26" s="231">
        <f>D21</f>
        <v>21472235.779999997</v>
      </c>
    </row>
    <row r="27" spans="2:6">
      <c r="B27" s="9" t="s">
        <v>17</v>
      </c>
      <c r="C27" s="10" t="s">
        <v>111</v>
      </c>
      <c r="D27" s="202">
        <v>-1096619.4700000002</v>
      </c>
      <c r="E27" s="224">
        <f>E28-E32</f>
        <v>-812558.14000000013</v>
      </c>
      <c r="F27" s="71"/>
    </row>
    <row r="28" spans="2:6">
      <c r="B28" s="9" t="s">
        <v>18</v>
      </c>
      <c r="C28" s="10" t="s">
        <v>19</v>
      </c>
      <c r="D28" s="202">
        <v>2265830.15</v>
      </c>
      <c r="E28" s="225">
        <v>1987289.98</v>
      </c>
      <c r="F28" s="71"/>
    </row>
    <row r="29" spans="2:6">
      <c r="B29" s="182" t="s">
        <v>4</v>
      </c>
      <c r="C29" s="175" t="s">
        <v>20</v>
      </c>
      <c r="D29" s="203">
        <v>2265830.15</v>
      </c>
      <c r="E29" s="226">
        <v>1987289.98</v>
      </c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/>
      <c r="E31" s="226"/>
      <c r="F31" s="71"/>
    </row>
    <row r="32" spans="2:6">
      <c r="B32" s="92" t="s">
        <v>23</v>
      </c>
      <c r="C32" s="11" t="s">
        <v>24</v>
      </c>
      <c r="D32" s="202">
        <v>3362449.62</v>
      </c>
      <c r="E32" s="225">
        <f>SUM(E33:E39)</f>
        <v>2799848.12</v>
      </c>
      <c r="F32" s="71"/>
    </row>
    <row r="33" spans="2:6">
      <c r="B33" s="182" t="s">
        <v>4</v>
      </c>
      <c r="C33" s="175" t="s">
        <v>25</v>
      </c>
      <c r="D33" s="203">
        <v>3362449.62</v>
      </c>
      <c r="E33" s="226">
        <f>2830167.33-30319.26+0.05</f>
        <v>2799848.12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/>
      <c r="E35" s="226"/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/>
      <c r="E37" s="226"/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/>
      <c r="E39" s="227"/>
      <c r="F39" s="71"/>
    </row>
    <row r="40" spans="2:6" ht="13.5" thickBot="1">
      <c r="B40" s="97" t="s">
        <v>35</v>
      </c>
      <c r="C40" s="98" t="s">
        <v>36</v>
      </c>
      <c r="D40" s="205">
        <v>-2902335.72</v>
      </c>
      <c r="E40" s="232">
        <v>5836069.7599999998</v>
      </c>
    </row>
    <row r="41" spans="2:6" ht="13.5" thickBot="1">
      <c r="B41" s="99" t="s">
        <v>37</v>
      </c>
      <c r="C41" s="100" t="s">
        <v>38</v>
      </c>
      <c r="D41" s="206">
        <v>21472235.780000001</v>
      </c>
      <c r="E41" s="148">
        <f>E26+E27+E40</f>
        <v>26495747.399999999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95">
        <v>1172107.7614</v>
      </c>
      <c r="E47" s="149">
        <v>1117798.3581000001</v>
      </c>
    </row>
    <row r="48" spans="2:6">
      <c r="B48" s="187" t="s">
        <v>6</v>
      </c>
      <c r="C48" s="188" t="s">
        <v>41</v>
      </c>
      <c r="D48" s="295">
        <v>1117798.3581000001</v>
      </c>
      <c r="E48" s="149">
        <v>1081657.7492</v>
      </c>
    </row>
    <row r="49" spans="2:5">
      <c r="B49" s="120" t="s">
        <v>23</v>
      </c>
      <c r="C49" s="124" t="s">
        <v>113</v>
      </c>
      <c r="D49" s="296"/>
      <c r="E49" s="149"/>
    </row>
    <row r="50" spans="2:5">
      <c r="B50" s="185" t="s">
        <v>4</v>
      </c>
      <c r="C50" s="186" t="s">
        <v>40</v>
      </c>
      <c r="D50" s="295">
        <v>21.731100000000001</v>
      </c>
      <c r="E50" s="149">
        <v>19.209399999999999</v>
      </c>
    </row>
    <row r="51" spans="2:5">
      <c r="B51" s="185" t="s">
        <v>6</v>
      </c>
      <c r="C51" s="186" t="s">
        <v>114</v>
      </c>
      <c r="D51" s="295">
        <v>18.363199999999999</v>
      </c>
      <c r="E51" s="75">
        <v>19.1859</v>
      </c>
    </row>
    <row r="52" spans="2:5">
      <c r="B52" s="185" t="s">
        <v>8</v>
      </c>
      <c r="C52" s="186" t="s">
        <v>115</v>
      </c>
      <c r="D52" s="295">
        <v>23.476800000000001</v>
      </c>
      <c r="E52" s="75">
        <v>24.590299999999999</v>
      </c>
    </row>
    <row r="53" spans="2:5" ht="13.5" customHeight="1" thickBot="1">
      <c r="B53" s="189" t="s">
        <v>9</v>
      </c>
      <c r="C53" s="190" t="s">
        <v>41</v>
      </c>
      <c r="D53" s="297">
        <v>19.209399999999999</v>
      </c>
      <c r="E53" s="233">
        <v>24.4955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7.2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26495747.399999999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3.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26495747.399999999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26495747.399999999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v>0</v>
      </c>
      <c r="E75" s="79">
        <v>0</v>
      </c>
    </row>
    <row r="76" spans="2:5">
      <c r="B76" s="102" t="s">
        <v>6</v>
      </c>
      <c r="C76" s="15" t="s">
        <v>119</v>
      </c>
      <c r="D76" s="78">
        <f>D74</f>
        <v>26495747.399999999</v>
      </c>
      <c r="E76" s="79">
        <f>E74</f>
        <v>1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61" right="0.75" top="0.56999999999999995" bottom="0.55000000000000004" header="0.5" footer="0.5"/>
  <pageSetup paperSize="9" scale="70" orientation="portrait" r:id="rId1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7"/>
  <dimension ref="A1:G81"/>
  <sheetViews>
    <sheetView zoomScale="80" zoomScaleNormal="80" workbookViewId="0">
      <selection activeCell="H37" sqref="H37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38"/>
      <c r="C4" s="138"/>
      <c r="D4" s="138"/>
      <c r="E4" s="138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187</v>
      </c>
      <c r="C6" s="359"/>
      <c r="D6" s="359"/>
      <c r="E6" s="359"/>
    </row>
    <row r="7" spans="2:7" ht="14.25">
      <c r="B7" s="136"/>
      <c r="C7" s="136"/>
      <c r="D7" s="136"/>
      <c r="E7" s="136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37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2352660.69</v>
      </c>
      <c r="E11" s="244">
        <f>SUM(E12:E14)</f>
        <v>1782520.5999999999</v>
      </c>
    </row>
    <row r="12" spans="2:7">
      <c r="B12" s="174" t="s">
        <v>4</v>
      </c>
      <c r="C12" s="175" t="s">
        <v>5</v>
      </c>
      <c r="D12" s="283">
        <v>2352660.69</v>
      </c>
      <c r="E12" s="304">
        <f>1782646.15-125.55</f>
        <v>1782520.5999999999</v>
      </c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2352660.69</v>
      </c>
      <c r="E21" s="148">
        <f>E11-E17</f>
        <v>1782520.5999999999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4431798.95</v>
      </c>
      <c r="E26" s="231">
        <f>D21</f>
        <v>2352660.69</v>
      </c>
    </row>
    <row r="27" spans="2:6">
      <c r="B27" s="9" t="s">
        <v>17</v>
      </c>
      <c r="C27" s="10" t="s">
        <v>111</v>
      </c>
      <c r="D27" s="202">
        <v>-1487278.53</v>
      </c>
      <c r="E27" s="224">
        <f>E28-E32</f>
        <v>-596494.48</v>
      </c>
      <c r="F27" s="71"/>
    </row>
    <row r="28" spans="2:6">
      <c r="B28" s="9" t="s">
        <v>18</v>
      </c>
      <c r="C28" s="10" t="s">
        <v>19</v>
      </c>
      <c r="D28" s="202">
        <v>21919.47</v>
      </c>
      <c r="E28" s="225">
        <v>33466.85</v>
      </c>
      <c r="F28" s="71"/>
    </row>
    <row r="29" spans="2:6">
      <c r="B29" s="182" t="s">
        <v>4</v>
      </c>
      <c r="C29" s="175" t="s">
        <v>20</v>
      </c>
      <c r="D29" s="203">
        <v>21919.47</v>
      </c>
      <c r="E29" s="226">
        <v>33228.17</v>
      </c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/>
      <c r="E31" s="226">
        <v>238.68</v>
      </c>
      <c r="F31" s="71"/>
    </row>
    <row r="32" spans="2:6">
      <c r="B32" s="92" t="s">
        <v>23</v>
      </c>
      <c r="C32" s="11" t="s">
        <v>24</v>
      </c>
      <c r="D32" s="202">
        <v>1509198</v>
      </c>
      <c r="E32" s="225">
        <f>SUM(E33:E39)</f>
        <v>629961.32999999996</v>
      </c>
      <c r="F32" s="71"/>
    </row>
    <row r="33" spans="2:6">
      <c r="B33" s="182" t="s">
        <v>4</v>
      </c>
      <c r="C33" s="175" t="s">
        <v>25</v>
      </c>
      <c r="D33" s="203">
        <v>1285398.5900000001</v>
      </c>
      <c r="E33" s="226">
        <f>392532.16+125.55</f>
        <v>392657.70999999996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10251.74</v>
      </c>
      <c r="E35" s="226">
        <v>6949.63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56994.38</v>
      </c>
      <c r="E37" s="226">
        <v>33998.6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>
        <v>156553.29</v>
      </c>
      <c r="E39" s="227">
        <v>196355.39</v>
      </c>
      <c r="F39" s="71"/>
    </row>
    <row r="40" spans="2:6" ht="13.5" thickBot="1">
      <c r="B40" s="97" t="s">
        <v>35</v>
      </c>
      <c r="C40" s="98" t="s">
        <v>36</v>
      </c>
      <c r="D40" s="205">
        <v>-591859.73</v>
      </c>
      <c r="E40" s="232">
        <v>26354.39</v>
      </c>
    </row>
    <row r="41" spans="2:6" ht="13.5" thickBot="1">
      <c r="B41" s="99" t="s">
        <v>37</v>
      </c>
      <c r="C41" s="100" t="s">
        <v>38</v>
      </c>
      <c r="D41" s="206">
        <v>2352660.69</v>
      </c>
      <c r="E41" s="148">
        <f>E26+E27+E40</f>
        <v>1782520.5999999999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12651.438630000001</v>
      </c>
      <c r="E47" s="149">
        <v>7814.0716000000002</v>
      </c>
    </row>
    <row r="48" spans="2:6">
      <c r="B48" s="187" t="s">
        <v>6</v>
      </c>
      <c r="C48" s="188" t="s">
        <v>41</v>
      </c>
      <c r="D48" s="207">
        <v>7814.0716000000002</v>
      </c>
      <c r="E48" s="149">
        <v>5862.2047869999997</v>
      </c>
    </row>
    <row r="49" spans="2:5">
      <c r="B49" s="120" t="s">
        <v>23</v>
      </c>
      <c r="C49" s="124" t="s">
        <v>113</v>
      </c>
      <c r="D49" s="208"/>
      <c r="E49" s="149"/>
    </row>
    <row r="50" spans="2:5">
      <c r="B50" s="185" t="s">
        <v>4</v>
      </c>
      <c r="C50" s="186" t="s">
        <v>40</v>
      </c>
      <c r="D50" s="207">
        <v>350.3</v>
      </c>
      <c r="E50" s="149">
        <v>301.08</v>
      </c>
    </row>
    <row r="51" spans="2:5">
      <c r="B51" s="185" t="s">
        <v>6</v>
      </c>
      <c r="C51" s="186" t="s">
        <v>114</v>
      </c>
      <c r="D51" s="207">
        <v>286.93</v>
      </c>
      <c r="E51" s="75">
        <v>291.20999999999998</v>
      </c>
    </row>
    <row r="52" spans="2:5">
      <c r="B52" s="185" t="s">
        <v>8</v>
      </c>
      <c r="C52" s="186" t="s">
        <v>115</v>
      </c>
      <c r="D52" s="207">
        <v>371.03</v>
      </c>
      <c r="E52" s="75">
        <v>318.66000000000003</v>
      </c>
    </row>
    <row r="53" spans="2:5" ht="13.5" customHeight="1" thickBot="1">
      <c r="B53" s="189" t="s">
        <v>9</v>
      </c>
      <c r="C53" s="190" t="s">
        <v>41</v>
      </c>
      <c r="D53" s="209">
        <v>301.08</v>
      </c>
      <c r="E53" s="233">
        <v>304.07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8.7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1782520.5999999999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1782520.5999999999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1782520.5999999999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1782520.5999999999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6" right="0.75" top="0.65" bottom="0.33" header="0.5" footer="0.5"/>
  <pageSetup paperSize="9" scale="70" orientation="portrait" r:id="rId1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8"/>
  <dimension ref="A1:F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138"/>
      <c r="C4" s="138"/>
      <c r="D4" s="138"/>
      <c r="E4" s="138"/>
    </row>
    <row r="5" spans="2:5" ht="21" customHeight="1">
      <c r="B5" s="358" t="s">
        <v>1</v>
      </c>
      <c r="C5" s="358"/>
      <c r="D5" s="358"/>
      <c r="E5" s="358"/>
    </row>
    <row r="6" spans="2:5" ht="14.25">
      <c r="B6" s="359" t="s">
        <v>188</v>
      </c>
      <c r="C6" s="359"/>
      <c r="D6" s="359"/>
      <c r="E6" s="359"/>
    </row>
    <row r="7" spans="2:5" ht="14.25">
      <c r="B7" s="136"/>
      <c r="C7" s="136"/>
      <c r="D7" s="136"/>
      <c r="E7" s="136"/>
    </row>
    <row r="8" spans="2:5" ht="13.5">
      <c r="B8" s="361" t="s">
        <v>18</v>
      </c>
      <c r="C8" s="363"/>
      <c r="D8" s="363"/>
      <c r="E8" s="363"/>
    </row>
    <row r="9" spans="2:5" ht="16.5" thickBot="1">
      <c r="B9" s="360" t="s">
        <v>103</v>
      </c>
      <c r="C9" s="360"/>
      <c r="D9" s="360"/>
      <c r="E9" s="360"/>
    </row>
    <row r="10" spans="2:5" ht="13.5" thickBot="1">
      <c r="B10" s="137"/>
      <c r="C10" s="76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28" t="s">
        <v>109</v>
      </c>
      <c r="D11" s="243">
        <v>830081.62</v>
      </c>
      <c r="E11" s="244">
        <f>SUM(E12:E14)</f>
        <v>1076420.6200000001</v>
      </c>
    </row>
    <row r="12" spans="2:5">
      <c r="B12" s="174" t="s">
        <v>4</v>
      </c>
      <c r="C12" s="175" t="s">
        <v>5</v>
      </c>
      <c r="D12" s="283">
        <v>830081.62</v>
      </c>
      <c r="E12" s="304">
        <v>1076420.6200000001</v>
      </c>
    </row>
    <row r="13" spans="2:5">
      <c r="B13" s="174" t="s">
        <v>6</v>
      </c>
      <c r="C13" s="176" t="s">
        <v>7</v>
      </c>
      <c r="D13" s="276"/>
      <c r="E13" s="305"/>
    </row>
    <row r="14" spans="2:5">
      <c r="B14" s="174" t="s">
        <v>8</v>
      </c>
      <c r="C14" s="176" t="s">
        <v>10</v>
      </c>
      <c r="D14" s="276"/>
      <c r="E14" s="305"/>
    </row>
    <row r="15" spans="2:5">
      <c r="B15" s="174" t="s">
        <v>106</v>
      </c>
      <c r="C15" s="176" t="s">
        <v>11</v>
      </c>
      <c r="D15" s="276"/>
      <c r="E15" s="305"/>
    </row>
    <row r="16" spans="2:5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830081.62</v>
      </c>
      <c r="E21" s="148">
        <f>E11-E17</f>
        <v>1076420.6200000001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881620.21</v>
      </c>
      <c r="E26" s="231">
        <f>D21</f>
        <v>830081.62</v>
      </c>
    </row>
    <row r="27" spans="2:6">
      <c r="B27" s="9" t="s">
        <v>17</v>
      </c>
      <c r="C27" s="10" t="s">
        <v>111</v>
      </c>
      <c r="D27" s="202">
        <v>-81918.430000000168</v>
      </c>
      <c r="E27" s="224">
        <v>-182563.1</v>
      </c>
      <c r="F27" s="71"/>
    </row>
    <row r="28" spans="2:6">
      <c r="B28" s="9" t="s">
        <v>18</v>
      </c>
      <c r="C28" s="10" t="s">
        <v>19</v>
      </c>
      <c r="D28" s="202">
        <v>618430.17999999993</v>
      </c>
      <c r="E28" s="225">
        <v>7535954.9799999995</v>
      </c>
      <c r="F28" s="71"/>
    </row>
    <row r="29" spans="2:6">
      <c r="B29" s="182" t="s">
        <v>4</v>
      </c>
      <c r="C29" s="175" t="s">
        <v>20</v>
      </c>
      <c r="D29" s="203">
        <v>12258.19</v>
      </c>
      <c r="E29" s="226">
        <v>12741.67</v>
      </c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>
        <v>606171.99</v>
      </c>
      <c r="E31" s="226">
        <v>7523213.3099999996</v>
      </c>
      <c r="F31" s="71"/>
    </row>
    <row r="32" spans="2:6">
      <c r="B32" s="92" t="s">
        <v>23</v>
      </c>
      <c r="C32" s="11" t="s">
        <v>24</v>
      </c>
      <c r="D32" s="202">
        <v>700348.6100000001</v>
      </c>
      <c r="E32" s="225">
        <v>7718518.0800000001</v>
      </c>
      <c r="F32" s="71"/>
    </row>
    <row r="33" spans="2:6">
      <c r="B33" s="182" t="s">
        <v>4</v>
      </c>
      <c r="C33" s="175" t="s">
        <v>25</v>
      </c>
      <c r="D33" s="203">
        <v>57675.1</v>
      </c>
      <c r="E33" s="226">
        <v>7453759.4400000004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4456.3599999999997</v>
      </c>
      <c r="E35" s="226">
        <v>4532.2299999999996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15872.61</v>
      </c>
      <c r="E37" s="226">
        <v>86025.18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>
        <v>622344.54</v>
      </c>
      <c r="E39" s="227">
        <v>174201.23</v>
      </c>
      <c r="F39" s="71"/>
    </row>
    <row r="40" spans="2:6" ht="13.5" thickBot="1">
      <c r="B40" s="97" t="s">
        <v>35</v>
      </c>
      <c r="C40" s="98" t="s">
        <v>36</v>
      </c>
      <c r="D40" s="205">
        <v>30379.84</v>
      </c>
      <c r="E40" s="232">
        <v>428902.1</v>
      </c>
    </row>
    <row r="41" spans="2:6" ht="13.5" thickBot="1">
      <c r="B41" s="99" t="s">
        <v>37</v>
      </c>
      <c r="C41" s="100" t="s">
        <v>38</v>
      </c>
      <c r="D41" s="206">
        <v>830081.61999999976</v>
      </c>
      <c r="E41" s="148">
        <f>E26+E27+E40</f>
        <v>1076420.6200000001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2932.2830199999999</v>
      </c>
      <c r="E47" s="149">
        <v>2669.4160999999999</v>
      </c>
    </row>
    <row r="48" spans="2:6">
      <c r="B48" s="187" t="s">
        <v>6</v>
      </c>
      <c r="C48" s="188" t="s">
        <v>41</v>
      </c>
      <c r="D48" s="207">
        <v>2669.4160999999999</v>
      </c>
      <c r="E48" s="149">
        <v>3294.6272800000002</v>
      </c>
    </row>
    <row r="49" spans="2:5">
      <c r="B49" s="120" t="s">
        <v>23</v>
      </c>
      <c r="C49" s="124" t="s">
        <v>113</v>
      </c>
      <c r="D49" s="208"/>
      <c r="E49" s="149"/>
    </row>
    <row r="50" spans="2:5">
      <c r="B50" s="185" t="s">
        <v>4</v>
      </c>
      <c r="C50" s="186" t="s">
        <v>40</v>
      </c>
      <c r="D50" s="207">
        <v>300.66000000000003</v>
      </c>
      <c r="E50" s="149">
        <v>310.95999999999998</v>
      </c>
    </row>
    <row r="51" spans="2:5">
      <c r="B51" s="185" t="s">
        <v>6</v>
      </c>
      <c r="C51" s="186" t="s">
        <v>114</v>
      </c>
      <c r="D51" s="207">
        <v>300.51</v>
      </c>
      <c r="E51" s="75">
        <v>310.79000000000002</v>
      </c>
    </row>
    <row r="52" spans="2:5">
      <c r="B52" s="185" t="s">
        <v>8</v>
      </c>
      <c r="C52" s="186" t="s">
        <v>115</v>
      </c>
      <c r="D52" s="207">
        <v>310.95999999999998</v>
      </c>
      <c r="E52" s="75">
        <v>328.76</v>
      </c>
    </row>
    <row r="53" spans="2:5" ht="12.75" customHeight="1" thickBot="1">
      <c r="B53" s="189" t="s">
        <v>9</v>
      </c>
      <c r="C53" s="190" t="s">
        <v>41</v>
      </c>
      <c r="D53" s="209">
        <v>310.95999999999998</v>
      </c>
      <c r="E53" s="233">
        <v>326.72000000000003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7.2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1076420.6200000001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1076420.6200000001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1076420.6200000001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1076420.6200000001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6999999999999995" right="0.75" top="0.61" bottom="0.6" header="0.5" footer="0.5"/>
  <pageSetup paperSize="9" scale="70" orientation="portrait" r:id="rId1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9"/>
  <dimension ref="A1:F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138"/>
      <c r="C4" s="138"/>
      <c r="D4" s="138"/>
      <c r="E4" s="138"/>
    </row>
    <row r="5" spans="2:5" ht="21" customHeight="1">
      <c r="B5" s="358" t="s">
        <v>1</v>
      </c>
      <c r="C5" s="358"/>
      <c r="D5" s="358"/>
      <c r="E5" s="358"/>
    </row>
    <row r="6" spans="2:5" ht="14.25">
      <c r="B6" s="359" t="s">
        <v>254</v>
      </c>
      <c r="C6" s="359"/>
      <c r="D6" s="359"/>
      <c r="E6" s="359"/>
    </row>
    <row r="7" spans="2:5" ht="14.25">
      <c r="B7" s="136"/>
      <c r="C7" s="136"/>
      <c r="D7" s="136"/>
      <c r="E7" s="136"/>
    </row>
    <row r="8" spans="2:5" ht="13.5">
      <c r="B8" s="361" t="s">
        <v>18</v>
      </c>
      <c r="C8" s="363"/>
      <c r="D8" s="363"/>
      <c r="E8" s="363"/>
    </row>
    <row r="9" spans="2:5" ht="16.5" thickBot="1">
      <c r="B9" s="360" t="s">
        <v>103</v>
      </c>
      <c r="C9" s="360"/>
      <c r="D9" s="360"/>
      <c r="E9" s="360"/>
    </row>
    <row r="10" spans="2:5" ht="13.5" thickBot="1">
      <c r="B10" s="137"/>
      <c r="C10" s="76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28" t="s">
        <v>109</v>
      </c>
      <c r="D11" s="243">
        <v>105306.51999999999</v>
      </c>
      <c r="E11" s="244">
        <f>SUM(E12:E14)</f>
        <v>16385.25</v>
      </c>
    </row>
    <row r="12" spans="2:5">
      <c r="B12" s="174" t="s">
        <v>4</v>
      </c>
      <c r="C12" s="175" t="s">
        <v>5</v>
      </c>
      <c r="D12" s="283">
        <v>105306.51999999999</v>
      </c>
      <c r="E12" s="304">
        <f>17934.46-1549.21</f>
        <v>16385.25</v>
      </c>
    </row>
    <row r="13" spans="2:5">
      <c r="B13" s="174" t="s">
        <v>6</v>
      </c>
      <c r="C13" s="176" t="s">
        <v>7</v>
      </c>
      <c r="D13" s="276"/>
      <c r="E13" s="305"/>
    </row>
    <row r="14" spans="2:5">
      <c r="B14" s="174" t="s">
        <v>8</v>
      </c>
      <c r="C14" s="176" t="s">
        <v>10</v>
      </c>
      <c r="D14" s="276"/>
      <c r="E14" s="305"/>
    </row>
    <row r="15" spans="2:5">
      <c r="B15" s="174" t="s">
        <v>106</v>
      </c>
      <c r="C15" s="176" t="s">
        <v>11</v>
      </c>
      <c r="D15" s="276"/>
      <c r="E15" s="305"/>
    </row>
    <row r="16" spans="2:5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105306.51999999999</v>
      </c>
      <c r="E21" s="148">
        <f>E11-E17</f>
        <v>16385.25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150604.94</v>
      </c>
      <c r="E26" s="231">
        <f>D21</f>
        <v>105306.51999999999</v>
      </c>
    </row>
    <row r="27" spans="2:6">
      <c r="B27" s="9" t="s">
        <v>17</v>
      </c>
      <c r="C27" s="10" t="s">
        <v>111</v>
      </c>
      <c r="D27" s="202">
        <v>-14044.199999999999</v>
      </c>
      <c r="E27" s="224">
        <f>E28-E32</f>
        <v>-89355.510000000009</v>
      </c>
      <c r="F27" s="71"/>
    </row>
    <row r="28" spans="2:6">
      <c r="B28" s="9" t="s">
        <v>18</v>
      </c>
      <c r="C28" s="10" t="s">
        <v>19</v>
      </c>
      <c r="D28" s="202">
        <v>8658.5500000000011</v>
      </c>
      <c r="E28" s="225">
        <v>5354.81</v>
      </c>
      <c r="F28" s="71"/>
    </row>
    <row r="29" spans="2:6">
      <c r="B29" s="182" t="s">
        <v>4</v>
      </c>
      <c r="C29" s="175" t="s">
        <v>20</v>
      </c>
      <c r="D29" s="203">
        <v>4583.5200000000004</v>
      </c>
      <c r="E29" s="226">
        <v>5354.81</v>
      </c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>
        <v>4075.03</v>
      </c>
      <c r="E31" s="226"/>
      <c r="F31" s="71"/>
    </row>
    <row r="32" spans="2:6">
      <c r="B32" s="92" t="s">
        <v>23</v>
      </c>
      <c r="C32" s="11" t="s">
        <v>24</v>
      </c>
      <c r="D32" s="202">
        <v>22702.75</v>
      </c>
      <c r="E32" s="225">
        <f>SUM(E33:E39)</f>
        <v>94710.32</v>
      </c>
      <c r="F32" s="71"/>
    </row>
    <row r="33" spans="2:6">
      <c r="B33" s="182" t="s">
        <v>4</v>
      </c>
      <c r="C33" s="175" t="s">
        <v>25</v>
      </c>
      <c r="D33" s="203">
        <v>9262.39</v>
      </c>
      <c r="E33" s="226">
        <f>92624.93+42.55</f>
        <v>92667.48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284.79000000000002</v>
      </c>
      <c r="E35" s="226">
        <v>218.13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2060</v>
      </c>
      <c r="E37" s="226">
        <v>1824.71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>
        <v>11095.57</v>
      </c>
      <c r="E39" s="227"/>
      <c r="F39" s="71"/>
    </row>
    <row r="40" spans="2:6" ht="13.5" thickBot="1">
      <c r="B40" s="97" t="s">
        <v>35</v>
      </c>
      <c r="C40" s="98" t="s">
        <v>36</v>
      </c>
      <c r="D40" s="205">
        <v>-31254.22</v>
      </c>
      <c r="E40" s="232">
        <v>434.24</v>
      </c>
    </row>
    <row r="41" spans="2:6" ht="13.5" thickBot="1">
      <c r="B41" s="99" t="s">
        <v>37</v>
      </c>
      <c r="C41" s="100" t="s">
        <v>38</v>
      </c>
      <c r="D41" s="206">
        <v>105306.51999999999</v>
      </c>
      <c r="E41" s="148">
        <f>E26+E27+E40</f>
        <v>16385.249999999982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830.55719999999997</v>
      </c>
      <c r="E47" s="149">
        <v>750.90216999999996</v>
      </c>
    </row>
    <row r="48" spans="2:6">
      <c r="B48" s="187" t="s">
        <v>6</v>
      </c>
      <c r="C48" s="188" t="s">
        <v>41</v>
      </c>
      <c r="D48" s="207">
        <v>750.90216999999996</v>
      </c>
      <c r="E48" s="149">
        <v>113.62861700000001</v>
      </c>
    </row>
    <row r="49" spans="2:5">
      <c r="B49" s="120" t="s">
        <v>23</v>
      </c>
      <c r="C49" s="124" t="s">
        <v>113</v>
      </c>
      <c r="D49" s="208"/>
      <c r="E49" s="149"/>
    </row>
    <row r="50" spans="2:5">
      <c r="B50" s="185" t="s">
        <v>4</v>
      </c>
      <c r="C50" s="186" t="s">
        <v>40</v>
      </c>
      <c r="D50" s="207">
        <v>181.33</v>
      </c>
      <c r="E50" s="149">
        <v>140.24</v>
      </c>
    </row>
    <row r="51" spans="2:5">
      <c r="B51" s="185" t="s">
        <v>6</v>
      </c>
      <c r="C51" s="186" t="s">
        <v>114</v>
      </c>
      <c r="D51" s="207">
        <v>131.13</v>
      </c>
      <c r="E51" s="75">
        <v>137.11000000000001</v>
      </c>
    </row>
    <row r="52" spans="2:5">
      <c r="B52" s="185" t="s">
        <v>8</v>
      </c>
      <c r="C52" s="186" t="s">
        <v>115</v>
      </c>
      <c r="D52" s="207">
        <v>190.03</v>
      </c>
      <c r="E52" s="75">
        <v>154.70000000000002</v>
      </c>
    </row>
    <row r="53" spans="2:5" ht="13.5" customHeight="1" thickBot="1">
      <c r="B53" s="189" t="s">
        <v>9</v>
      </c>
      <c r="C53" s="190" t="s">
        <v>41</v>
      </c>
      <c r="D53" s="209">
        <v>140.24</v>
      </c>
      <c r="E53" s="233">
        <v>144.19999999999999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5.7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16385.25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E12</f>
        <v>16385.25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0" t="s">
        <v>64</v>
      </c>
      <c r="C74" s="121" t="s">
        <v>66</v>
      </c>
      <c r="D74" s="122">
        <f>D58-D73</f>
        <v>16385.25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16385.25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3" right="0.75" top="0.53" bottom="0.56000000000000005" header="0.5" footer="0.5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F81"/>
  <sheetViews>
    <sheetView zoomScale="80" zoomScaleNormal="80" workbookViewId="0">
      <selection activeCell="G1" sqref="G1:N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7" t="s">
        <v>0</v>
      </c>
      <c r="C2" s="357"/>
      <c r="D2" s="357"/>
      <c r="E2" s="357"/>
    </row>
    <row r="3" spans="2:5" ht="15.75">
      <c r="B3" s="357" t="s">
        <v>267</v>
      </c>
      <c r="C3" s="357"/>
      <c r="D3" s="357"/>
      <c r="E3" s="357"/>
    </row>
    <row r="4" spans="2:5" ht="15">
      <c r="B4" s="85"/>
      <c r="C4" s="85"/>
      <c r="D4" s="85"/>
      <c r="E4" s="85"/>
    </row>
    <row r="5" spans="2:5" ht="21" customHeight="1">
      <c r="B5" s="358" t="s">
        <v>1</v>
      </c>
      <c r="C5" s="358"/>
      <c r="D5" s="358"/>
      <c r="E5" s="358"/>
    </row>
    <row r="6" spans="2:5" ht="14.25">
      <c r="B6" s="359" t="s">
        <v>91</v>
      </c>
      <c r="C6" s="359"/>
      <c r="D6" s="359"/>
      <c r="E6" s="359"/>
    </row>
    <row r="7" spans="2:5" ht="14.25">
      <c r="B7" s="89"/>
      <c r="C7" s="89"/>
      <c r="D7" s="89"/>
      <c r="E7" s="89"/>
    </row>
    <row r="8" spans="2:5" ht="13.5">
      <c r="B8" s="361" t="s">
        <v>18</v>
      </c>
      <c r="C8" s="363"/>
      <c r="D8" s="363"/>
      <c r="E8" s="363"/>
    </row>
    <row r="9" spans="2:5" ht="16.5" thickBot="1">
      <c r="B9" s="360" t="s">
        <v>103</v>
      </c>
      <c r="C9" s="360"/>
      <c r="D9" s="360"/>
      <c r="E9" s="360"/>
    </row>
    <row r="10" spans="2:5" ht="13.5" thickBot="1">
      <c r="B10" s="86"/>
      <c r="C10" s="76" t="s">
        <v>2</v>
      </c>
      <c r="D10" s="70" t="s">
        <v>125</v>
      </c>
      <c r="E10" s="319" t="s">
        <v>268</v>
      </c>
    </row>
    <row r="11" spans="2:5">
      <c r="B11" s="90" t="s">
        <v>3</v>
      </c>
      <c r="C11" s="128" t="s">
        <v>109</v>
      </c>
      <c r="D11" s="243">
        <v>59639856.25</v>
      </c>
      <c r="E11" s="244">
        <f>SUM(E12:E14)</f>
        <v>68377054.690000013</v>
      </c>
    </row>
    <row r="12" spans="2:5">
      <c r="B12" s="106" t="s">
        <v>4</v>
      </c>
      <c r="C12" s="6" t="s">
        <v>5</v>
      </c>
      <c r="D12" s="283">
        <v>59452478.960000001</v>
      </c>
      <c r="E12" s="304">
        <f>68211152.12+593412.02-616857.21</f>
        <v>68187706.930000007</v>
      </c>
    </row>
    <row r="13" spans="2:5">
      <c r="B13" s="106" t="s">
        <v>6</v>
      </c>
      <c r="C13" s="68" t="s">
        <v>7</v>
      </c>
      <c r="D13" s="276"/>
      <c r="E13" s="305"/>
    </row>
    <row r="14" spans="2:5">
      <c r="B14" s="106" t="s">
        <v>8</v>
      </c>
      <c r="C14" s="68" t="s">
        <v>10</v>
      </c>
      <c r="D14" s="276">
        <v>187377.28999999998</v>
      </c>
      <c r="E14" s="305">
        <f>E15</f>
        <v>189347.76</v>
      </c>
    </row>
    <row r="15" spans="2:5">
      <c r="B15" s="106" t="s">
        <v>106</v>
      </c>
      <c r="C15" s="68" t="s">
        <v>11</v>
      </c>
      <c r="D15" s="276">
        <v>187377.28999999998</v>
      </c>
      <c r="E15" s="305">
        <v>189347.76</v>
      </c>
    </row>
    <row r="16" spans="2:5">
      <c r="B16" s="107" t="s">
        <v>107</v>
      </c>
      <c r="C16" s="91" t="s">
        <v>12</v>
      </c>
      <c r="D16" s="278"/>
      <c r="E16" s="306"/>
    </row>
    <row r="17" spans="2:6">
      <c r="B17" s="9" t="s">
        <v>13</v>
      </c>
      <c r="C17" s="11" t="s">
        <v>65</v>
      </c>
      <c r="D17" s="279">
        <v>84673.8</v>
      </c>
      <c r="E17" s="307">
        <f>E18</f>
        <v>87608</v>
      </c>
    </row>
    <row r="18" spans="2:6">
      <c r="B18" s="106" t="s">
        <v>4</v>
      </c>
      <c r="C18" s="6" t="s">
        <v>11</v>
      </c>
      <c r="D18" s="278">
        <v>84673.8</v>
      </c>
      <c r="E18" s="306">
        <v>87608</v>
      </c>
    </row>
    <row r="19" spans="2:6" ht="15" customHeight="1">
      <c r="B19" s="106" t="s">
        <v>6</v>
      </c>
      <c r="C19" s="68" t="s">
        <v>108</v>
      </c>
      <c r="D19" s="276"/>
      <c r="E19" s="305"/>
    </row>
    <row r="20" spans="2:6" ht="13.5" thickBot="1">
      <c r="B20" s="108" t="s">
        <v>8</v>
      </c>
      <c r="C20" s="69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59555182.450000003</v>
      </c>
      <c r="E21" s="148">
        <f>E11-E17</f>
        <v>68289446.690000013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69"/>
      <c r="D23" s="369"/>
      <c r="E23" s="369"/>
    </row>
    <row r="24" spans="2:6" ht="15.75" customHeight="1" thickBot="1">
      <c r="B24" s="360" t="s">
        <v>105</v>
      </c>
      <c r="C24" s="370"/>
      <c r="D24" s="370"/>
      <c r="E24" s="370"/>
    </row>
    <row r="25" spans="2:6" ht="13.5" thickBot="1">
      <c r="B25" s="86"/>
      <c r="C25" s="5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52218827.07</v>
      </c>
      <c r="E26" s="231">
        <f>D21</f>
        <v>59555182.450000003</v>
      </c>
    </row>
    <row r="27" spans="2:6">
      <c r="B27" s="9" t="s">
        <v>17</v>
      </c>
      <c r="C27" s="10" t="s">
        <v>111</v>
      </c>
      <c r="D27" s="202">
        <v>6686278.9399999995</v>
      </c>
      <c r="E27" s="224">
        <f>E28-E32</f>
        <v>7822604.2800000142</v>
      </c>
      <c r="F27" s="71"/>
    </row>
    <row r="28" spans="2:6">
      <c r="B28" s="9" t="s">
        <v>18</v>
      </c>
      <c r="C28" s="10" t="s">
        <v>19</v>
      </c>
      <c r="D28" s="202">
        <v>17027316.359999999</v>
      </c>
      <c r="E28" s="225">
        <v>18436518.109999999</v>
      </c>
      <c r="F28" s="71"/>
    </row>
    <row r="29" spans="2:6">
      <c r="B29" s="104" t="s">
        <v>4</v>
      </c>
      <c r="C29" s="6" t="s">
        <v>20</v>
      </c>
      <c r="D29" s="203">
        <v>16368414.25</v>
      </c>
      <c r="E29" s="226">
        <v>16545453.379999999</v>
      </c>
      <c r="F29" s="71"/>
    </row>
    <row r="30" spans="2:6">
      <c r="B30" s="104" t="s">
        <v>6</v>
      </c>
      <c r="C30" s="6" t="s">
        <v>21</v>
      </c>
      <c r="D30" s="203"/>
      <c r="E30" s="226"/>
      <c r="F30" s="71"/>
    </row>
    <row r="31" spans="2:6">
      <c r="B31" s="104" t="s">
        <v>8</v>
      </c>
      <c r="C31" s="6" t="s">
        <v>22</v>
      </c>
      <c r="D31" s="203">
        <v>658902.11</v>
      </c>
      <c r="E31" s="226">
        <v>1891064.73</v>
      </c>
      <c r="F31" s="71"/>
    </row>
    <row r="32" spans="2:6">
      <c r="B32" s="92" t="s">
        <v>23</v>
      </c>
      <c r="C32" s="11" t="s">
        <v>24</v>
      </c>
      <c r="D32" s="202">
        <v>10341037.42</v>
      </c>
      <c r="E32" s="225">
        <f>SUM(E33:E39)</f>
        <v>10613913.829999985</v>
      </c>
      <c r="F32" s="71"/>
    </row>
    <row r="33" spans="2:6">
      <c r="B33" s="104" t="s">
        <v>4</v>
      </c>
      <c r="C33" s="6" t="s">
        <v>25</v>
      </c>
      <c r="D33" s="203">
        <v>8297508.4800000004</v>
      </c>
      <c r="E33" s="226">
        <f>8791583.17-354289.6</f>
        <v>8437293.5700000003</v>
      </c>
      <c r="F33" s="71"/>
    </row>
    <row r="34" spans="2:6">
      <c r="B34" s="104" t="s">
        <v>6</v>
      </c>
      <c r="C34" s="6" t="s">
        <v>26</v>
      </c>
      <c r="D34" s="203"/>
      <c r="E34" s="226"/>
      <c r="F34" s="71"/>
    </row>
    <row r="35" spans="2:6">
      <c r="B35" s="104" t="s">
        <v>8</v>
      </c>
      <c r="C35" s="6" t="s">
        <v>27</v>
      </c>
      <c r="D35" s="203">
        <v>1428130.0299999998</v>
      </c>
      <c r="E35" s="226">
        <v>1570737.62</v>
      </c>
      <c r="F35" s="71"/>
    </row>
    <row r="36" spans="2:6">
      <c r="B36" s="104" t="s">
        <v>9</v>
      </c>
      <c r="C36" s="6" t="s">
        <v>28</v>
      </c>
      <c r="D36" s="203"/>
      <c r="E36" s="226"/>
      <c r="F36" s="71"/>
    </row>
    <row r="37" spans="2:6" ht="25.5">
      <c r="B37" s="104" t="s">
        <v>29</v>
      </c>
      <c r="C37" s="6" t="s">
        <v>30</v>
      </c>
      <c r="D37" s="203"/>
      <c r="E37" s="226"/>
      <c r="F37" s="71"/>
    </row>
    <row r="38" spans="2:6">
      <c r="B38" s="104" t="s">
        <v>31</v>
      </c>
      <c r="C38" s="6" t="s">
        <v>32</v>
      </c>
      <c r="D38" s="203"/>
      <c r="E38" s="226"/>
      <c r="F38" s="71"/>
    </row>
    <row r="39" spans="2:6">
      <c r="B39" s="105" t="s">
        <v>33</v>
      </c>
      <c r="C39" s="12" t="s">
        <v>34</v>
      </c>
      <c r="D39" s="204">
        <v>615398.91</v>
      </c>
      <c r="E39" s="227">
        <v>605882.63999998383</v>
      </c>
      <c r="F39" s="71"/>
    </row>
    <row r="40" spans="2:6" ht="13.5" thickBot="1">
      <c r="B40" s="97" t="s">
        <v>35</v>
      </c>
      <c r="C40" s="98" t="s">
        <v>36</v>
      </c>
      <c r="D40" s="205">
        <v>650076.43999999994</v>
      </c>
      <c r="E40" s="232">
        <v>911659.96</v>
      </c>
    </row>
    <row r="41" spans="2:6" ht="13.5" thickBot="1">
      <c r="B41" s="99" t="s">
        <v>37</v>
      </c>
      <c r="C41" s="100" t="s">
        <v>38</v>
      </c>
      <c r="D41" s="206">
        <v>59555182.449999996</v>
      </c>
      <c r="E41" s="148">
        <f>E26+E27+E40</f>
        <v>68289446.690000013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63"/>
      <c r="D43" s="363"/>
      <c r="E43" s="363"/>
    </row>
    <row r="44" spans="2:6" ht="17.25" customHeight="1" thickBot="1">
      <c r="B44" s="360" t="s">
        <v>121</v>
      </c>
      <c r="C44" s="364"/>
      <c r="D44" s="364"/>
      <c r="E44" s="364"/>
    </row>
    <row r="45" spans="2:6" ht="13.5" thickBot="1">
      <c r="B45" s="86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217"/>
      <c r="E46" s="28"/>
    </row>
    <row r="47" spans="2:6">
      <c r="B47" s="102" t="s">
        <v>4</v>
      </c>
      <c r="C47" s="15" t="s">
        <v>40</v>
      </c>
      <c r="D47" s="207">
        <v>4308518.9522000002</v>
      </c>
      <c r="E47" s="73">
        <v>4861973.9389199996</v>
      </c>
    </row>
    <row r="48" spans="2:6">
      <c r="B48" s="123" t="s">
        <v>6</v>
      </c>
      <c r="C48" s="22" t="s">
        <v>41</v>
      </c>
      <c r="D48" s="207">
        <v>4861973.9389199996</v>
      </c>
      <c r="E48" s="272">
        <v>5494161.6903999997</v>
      </c>
    </row>
    <row r="49" spans="2:5">
      <c r="B49" s="120" t="s">
        <v>23</v>
      </c>
      <c r="C49" s="124" t="s">
        <v>113</v>
      </c>
      <c r="D49" s="208"/>
      <c r="E49" s="125"/>
    </row>
    <row r="50" spans="2:5">
      <c r="B50" s="102" t="s">
        <v>4</v>
      </c>
      <c r="C50" s="15" t="s">
        <v>40</v>
      </c>
      <c r="D50" s="207">
        <v>12.119901907902999</v>
      </c>
      <c r="E50" s="266">
        <v>12.2491776381711</v>
      </c>
    </row>
    <row r="51" spans="2:5">
      <c r="B51" s="102" t="s">
        <v>6</v>
      </c>
      <c r="C51" s="15" t="s">
        <v>114</v>
      </c>
      <c r="D51" s="207">
        <v>11.9504</v>
      </c>
      <c r="E51" s="267">
        <v>12.1929</v>
      </c>
    </row>
    <row r="52" spans="2:5" ht="12" customHeight="1">
      <c r="B52" s="102" t="s">
        <v>8</v>
      </c>
      <c r="C52" s="15" t="s">
        <v>115</v>
      </c>
      <c r="D52" s="207">
        <v>12.2509</v>
      </c>
      <c r="E52" s="75">
        <v>12.602</v>
      </c>
    </row>
    <row r="53" spans="2:5" ht="13.5" thickBot="1">
      <c r="B53" s="103" t="s">
        <v>9</v>
      </c>
      <c r="C53" s="17" t="s">
        <v>41</v>
      </c>
      <c r="D53" s="209">
        <v>12.2491776381711</v>
      </c>
      <c r="E53" s="233">
        <v>12.429500000000001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6.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SUM(D59:D70)</f>
        <v>68187706.930000007</v>
      </c>
      <c r="E58" s="31">
        <f>D58/E21</f>
        <v>0.99851016862880948</v>
      </c>
    </row>
    <row r="59" spans="2:5" ht="25.5">
      <c r="B59" s="21" t="s">
        <v>4</v>
      </c>
      <c r="C59" s="22" t="s">
        <v>44</v>
      </c>
      <c r="D59" s="80">
        <v>0</v>
      </c>
      <c r="E59" s="81">
        <v>0</v>
      </c>
    </row>
    <row r="60" spans="2:5" ht="24" customHeight="1">
      <c r="B60" s="14" t="s">
        <v>6</v>
      </c>
      <c r="C60" s="15" t="s">
        <v>45</v>
      </c>
      <c r="D60" s="78">
        <v>0</v>
      </c>
      <c r="E60" s="79">
        <v>0</v>
      </c>
    </row>
    <row r="61" spans="2:5">
      <c r="B61" s="14" t="s">
        <v>8</v>
      </c>
      <c r="C61" s="15" t="s">
        <v>46</v>
      </c>
      <c r="D61" s="78">
        <v>0</v>
      </c>
      <c r="E61" s="79">
        <v>0</v>
      </c>
    </row>
    <row r="62" spans="2:5">
      <c r="B62" s="14" t="s">
        <v>9</v>
      </c>
      <c r="C62" s="15" t="s">
        <v>47</v>
      </c>
      <c r="D62" s="78">
        <v>0</v>
      </c>
      <c r="E62" s="79">
        <v>0</v>
      </c>
    </row>
    <row r="63" spans="2:5">
      <c r="B63" s="14" t="s">
        <v>29</v>
      </c>
      <c r="C63" s="15" t="s">
        <v>48</v>
      </c>
      <c r="D63" s="78">
        <v>0</v>
      </c>
      <c r="E63" s="79">
        <v>0</v>
      </c>
    </row>
    <row r="64" spans="2:5">
      <c r="B64" s="21" t="s">
        <v>31</v>
      </c>
      <c r="C64" s="22" t="s">
        <v>49</v>
      </c>
      <c r="D64" s="269">
        <f>68211152.12-616857.21</f>
        <v>67594294.910000011</v>
      </c>
      <c r="E64" s="81">
        <f>D64/E21</f>
        <v>0.98982050940966559</v>
      </c>
    </row>
    <row r="65" spans="2:5">
      <c r="B65" s="21" t="s">
        <v>33</v>
      </c>
      <c r="C65" s="22" t="s">
        <v>118</v>
      </c>
      <c r="D65" s="80">
        <v>0</v>
      </c>
      <c r="E65" s="81">
        <v>0</v>
      </c>
    </row>
    <row r="66" spans="2:5">
      <c r="B66" s="21" t="s">
        <v>50</v>
      </c>
      <c r="C66" s="22" t="s">
        <v>51</v>
      </c>
      <c r="D66" s="80">
        <v>0</v>
      </c>
      <c r="E66" s="81">
        <v>0</v>
      </c>
    </row>
    <row r="67" spans="2:5">
      <c r="B67" s="14" t="s">
        <v>52</v>
      </c>
      <c r="C67" s="15" t="s">
        <v>53</v>
      </c>
      <c r="D67" s="78">
        <v>0</v>
      </c>
      <c r="E67" s="79">
        <v>0</v>
      </c>
    </row>
    <row r="68" spans="2:5">
      <c r="B68" s="14" t="s">
        <v>54</v>
      </c>
      <c r="C68" s="15" t="s">
        <v>55</v>
      </c>
      <c r="D68" s="78">
        <v>0</v>
      </c>
      <c r="E68" s="79">
        <v>0</v>
      </c>
    </row>
    <row r="69" spans="2:5">
      <c r="B69" s="14" t="s">
        <v>56</v>
      </c>
      <c r="C69" s="15" t="s">
        <v>57</v>
      </c>
      <c r="D69" s="286">
        <v>593412.02</v>
      </c>
      <c r="E69" s="79">
        <f>D69/E21</f>
        <v>8.6896592191439814E-3</v>
      </c>
    </row>
    <row r="70" spans="2:5">
      <c r="B70" s="112" t="s">
        <v>58</v>
      </c>
      <c r="C70" s="113" t="s">
        <v>59</v>
      </c>
      <c r="D70" s="114">
        <v>0</v>
      </c>
      <c r="E70" s="115">
        <v>0</v>
      </c>
    </row>
    <row r="71" spans="2:5">
      <c r="B71" s="120" t="s">
        <v>23</v>
      </c>
      <c r="C71" s="121" t="s">
        <v>61</v>
      </c>
      <c r="D71" s="122">
        <f>E13</f>
        <v>0</v>
      </c>
      <c r="E71" s="66">
        <v>0</v>
      </c>
    </row>
    <row r="72" spans="2:5">
      <c r="B72" s="116" t="s">
        <v>60</v>
      </c>
      <c r="C72" s="117" t="s">
        <v>63</v>
      </c>
      <c r="D72" s="118">
        <f>E14</f>
        <v>189347.76</v>
      </c>
      <c r="E72" s="119">
        <f>D72/E21</f>
        <v>2.7727235931423533E-3</v>
      </c>
    </row>
    <row r="73" spans="2:5">
      <c r="B73" s="23" t="s">
        <v>62</v>
      </c>
      <c r="C73" s="24" t="s">
        <v>65</v>
      </c>
      <c r="D73" s="25">
        <f>E17</f>
        <v>87608</v>
      </c>
      <c r="E73" s="26">
        <f>D73/E21</f>
        <v>1.282892221951901E-3</v>
      </c>
    </row>
    <row r="74" spans="2:5">
      <c r="B74" s="120" t="s">
        <v>64</v>
      </c>
      <c r="C74" s="121" t="s">
        <v>66</v>
      </c>
      <c r="D74" s="122">
        <f>D58+D71+D72-D73</f>
        <v>68289446.690000013</v>
      </c>
      <c r="E74" s="66">
        <f>E58+E72-E73</f>
        <v>1</v>
      </c>
    </row>
    <row r="75" spans="2:5">
      <c r="B75" s="14" t="s">
        <v>4</v>
      </c>
      <c r="C75" s="15" t="s">
        <v>67</v>
      </c>
      <c r="D75" s="78">
        <f>D74</f>
        <v>68289446.690000013</v>
      </c>
      <c r="E75" s="79">
        <f>E74</f>
        <v>1</v>
      </c>
    </row>
    <row r="76" spans="2:5">
      <c r="B76" s="14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6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0"/>
  <dimension ref="A1:G81"/>
  <sheetViews>
    <sheetView zoomScale="80" zoomScaleNormal="80" workbookViewId="0">
      <selection activeCell="K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38"/>
      <c r="C4" s="138"/>
      <c r="D4" s="138"/>
      <c r="E4" s="138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189</v>
      </c>
      <c r="C6" s="359"/>
      <c r="D6" s="359"/>
      <c r="E6" s="359"/>
    </row>
    <row r="7" spans="2:7" ht="14.25">
      <c r="B7" s="136"/>
      <c r="C7" s="136"/>
      <c r="D7" s="136"/>
      <c r="E7" s="136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37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16442.86</v>
      </c>
      <c r="E11" s="244">
        <f>SUM(E12:E14)</f>
        <v>16010.75</v>
      </c>
    </row>
    <row r="12" spans="2:7">
      <c r="B12" s="174" t="s">
        <v>4</v>
      </c>
      <c r="C12" s="175" t="s">
        <v>5</v>
      </c>
      <c r="D12" s="283">
        <v>16442.86</v>
      </c>
      <c r="E12" s="304">
        <v>16010.75</v>
      </c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16442.86</v>
      </c>
      <c r="E21" s="148">
        <f>E11-E17</f>
        <v>16010.75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59887.72</v>
      </c>
      <c r="E26" s="231">
        <f>D21</f>
        <v>16442.86</v>
      </c>
    </row>
    <row r="27" spans="2:6">
      <c r="B27" s="9" t="s">
        <v>17</v>
      </c>
      <c r="C27" s="10" t="s">
        <v>111</v>
      </c>
      <c r="D27" s="202">
        <v>-33744.01</v>
      </c>
      <c r="E27" s="224">
        <v>-1233.6999999999998</v>
      </c>
      <c r="F27" s="71"/>
    </row>
    <row r="28" spans="2:6">
      <c r="B28" s="9" t="s">
        <v>18</v>
      </c>
      <c r="C28" s="10" t="s">
        <v>19</v>
      </c>
      <c r="D28" s="202">
        <v>0</v>
      </c>
      <c r="E28" s="225">
        <v>0</v>
      </c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/>
      <c r="E31" s="226"/>
      <c r="F31" s="71"/>
    </row>
    <row r="32" spans="2:6">
      <c r="B32" s="92" t="s">
        <v>23</v>
      </c>
      <c r="C32" s="11" t="s">
        <v>24</v>
      </c>
      <c r="D32" s="202">
        <v>33744.01</v>
      </c>
      <c r="E32" s="225">
        <v>1233.6999999999998</v>
      </c>
      <c r="F32" s="71"/>
    </row>
    <row r="33" spans="2:6">
      <c r="B33" s="182" t="s">
        <v>4</v>
      </c>
      <c r="C33" s="175" t="s">
        <v>25</v>
      </c>
      <c r="D33" s="203">
        <v>33003.279999999999</v>
      </c>
      <c r="E33" s="226">
        <v>964.77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38.44</v>
      </c>
      <c r="E35" s="226">
        <v>35.81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702.29</v>
      </c>
      <c r="E37" s="226">
        <v>233.12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/>
      <c r="E39" s="227"/>
      <c r="F39" s="71"/>
    </row>
    <row r="40" spans="2:6" ht="13.5" thickBot="1">
      <c r="B40" s="97" t="s">
        <v>35</v>
      </c>
      <c r="C40" s="98" t="s">
        <v>36</v>
      </c>
      <c r="D40" s="205">
        <v>-9700.85</v>
      </c>
      <c r="E40" s="232">
        <v>801.59</v>
      </c>
    </row>
    <row r="41" spans="2:6" ht="13.5" thickBot="1">
      <c r="B41" s="99" t="s">
        <v>37</v>
      </c>
      <c r="C41" s="100" t="s">
        <v>38</v>
      </c>
      <c r="D41" s="206">
        <v>16442.86</v>
      </c>
      <c r="E41" s="148">
        <f>E26+E27+E40</f>
        <v>16010.75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267.12929000000003</v>
      </c>
      <c r="E47" s="149">
        <v>90.023899999999998</v>
      </c>
    </row>
    <row r="48" spans="2:6">
      <c r="B48" s="187" t="s">
        <v>6</v>
      </c>
      <c r="C48" s="188" t="s">
        <v>41</v>
      </c>
      <c r="D48" s="207">
        <v>90.023899999999998</v>
      </c>
      <c r="E48" s="149">
        <v>83.77328</v>
      </c>
    </row>
    <row r="49" spans="2:5">
      <c r="B49" s="120" t="s">
        <v>23</v>
      </c>
      <c r="C49" s="124" t="s">
        <v>113</v>
      </c>
      <c r="D49" s="208"/>
      <c r="E49" s="149"/>
    </row>
    <row r="50" spans="2:5">
      <c r="B50" s="185" t="s">
        <v>4</v>
      </c>
      <c r="C50" s="186" t="s">
        <v>40</v>
      </c>
      <c r="D50" s="207">
        <v>224.19</v>
      </c>
      <c r="E50" s="149">
        <v>182.65</v>
      </c>
    </row>
    <row r="51" spans="2:5">
      <c r="B51" s="185" t="s">
        <v>6</v>
      </c>
      <c r="C51" s="186" t="s">
        <v>114</v>
      </c>
      <c r="D51" s="207">
        <v>180.12</v>
      </c>
      <c r="E51" s="75">
        <v>179.01</v>
      </c>
    </row>
    <row r="52" spans="2:5">
      <c r="B52" s="185" t="s">
        <v>8</v>
      </c>
      <c r="C52" s="186" t="s">
        <v>115</v>
      </c>
      <c r="D52" s="207">
        <v>233.45</v>
      </c>
      <c r="E52" s="75">
        <v>200.97</v>
      </c>
    </row>
    <row r="53" spans="2:5" ht="14.25" customHeight="1" thickBot="1">
      <c r="B53" s="189" t="s">
        <v>9</v>
      </c>
      <c r="C53" s="190" t="s">
        <v>41</v>
      </c>
      <c r="D53" s="209">
        <v>182.65</v>
      </c>
      <c r="E53" s="233">
        <v>191.12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7.2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16010.75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16010.75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16010.75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16010.75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1">
    <pageSetUpPr fitToPage="1"/>
  </sheetPr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38"/>
      <c r="C4" s="138"/>
      <c r="D4" s="138"/>
      <c r="E4" s="138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190</v>
      </c>
      <c r="C6" s="359"/>
      <c r="D6" s="359"/>
      <c r="E6" s="359"/>
    </row>
    <row r="7" spans="2:7" ht="14.25">
      <c r="B7" s="136"/>
      <c r="C7" s="136"/>
      <c r="D7" s="136"/>
      <c r="E7" s="136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37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5339211.8</v>
      </c>
      <c r="E11" s="244">
        <f>SUM(E12:E14)</f>
        <v>4523465.21</v>
      </c>
    </row>
    <row r="12" spans="2:7">
      <c r="B12" s="174" t="s">
        <v>4</v>
      </c>
      <c r="C12" s="175" t="s">
        <v>5</v>
      </c>
      <c r="D12" s="283">
        <v>5339211.8</v>
      </c>
      <c r="E12" s="304">
        <v>4523465.21</v>
      </c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5339211.8</v>
      </c>
      <c r="E21" s="148">
        <f>E11-E17</f>
        <v>4523465.21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7798710.8200000003</v>
      </c>
      <c r="E26" s="231">
        <f>D21</f>
        <v>5339211.8</v>
      </c>
    </row>
    <row r="27" spans="2:6">
      <c r="B27" s="9" t="s">
        <v>17</v>
      </c>
      <c r="C27" s="10" t="s">
        <v>111</v>
      </c>
      <c r="D27" s="202">
        <v>-1580933.7300000002</v>
      </c>
      <c r="E27" s="224">
        <v>-1732593.94</v>
      </c>
      <c r="F27" s="71"/>
    </row>
    <row r="28" spans="2:6">
      <c r="B28" s="9" t="s">
        <v>18</v>
      </c>
      <c r="C28" s="10" t="s">
        <v>19</v>
      </c>
      <c r="D28" s="202">
        <v>0</v>
      </c>
      <c r="E28" s="225">
        <v>0</v>
      </c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/>
      <c r="E31" s="226"/>
      <c r="F31" s="71"/>
    </row>
    <row r="32" spans="2:6">
      <c r="B32" s="92" t="s">
        <v>23</v>
      </c>
      <c r="C32" s="11" t="s">
        <v>24</v>
      </c>
      <c r="D32" s="202">
        <v>1580933.7300000002</v>
      </c>
      <c r="E32" s="225">
        <v>1732593.94</v>
      </c>
      <c r="F32" s="71"/>
    </row>
    <row r="33" spans="2:6">
      <c r="B33" s="182" t="s">
        <v>4</v>
      </c>
      <c r="C33" s="175" t="s">
        <v>25</v>
      </c>
      <c r="D33" s="203">
        <v>1238802.8400000001</v>
      </c>
      <c r="E33" s="226">
        <v>485989.92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19041.5</v>
      </c>
      <c r="E35" s="226">
        <v>21348.46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116001.59</v>
      </c>
      <c r="E37" s="226">
        <v>74768.84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>
        <v>207087.8</v>
      </c>
      <c r="E39" s="227">
        <v>1150486.72</v>
      </c>
      <c r="F39" s="71"/>
    </row>
    <row r="40" spans="2:6" ht="13.5" thickBot="1">
      <c r="B40" s="97" t="s">
        <v>35</v>
      </c>
      <c r="C40" s="98" t="s">
        <v>36</v>
      </c>
      <c r="D40" s="205">
        <v>-878565.29</v>
      </c>
      <c r="E40" s="232">
        <v>916847.35</v>
      </c>
    </row>
    <row r="41" spans="2:6" ht="13.5" thickBot="1">
      <c r="B41" s="99" t="s">
        <v>37</v>
      </c>
      <c r="C41" s="100" t="s">
        <v>38</v>
      </c>
      <c r="D41" s="206">
        <v>5339211.8</v>
      </c>
      <c r="E41" s="148">
        <f>E26+E27+E40</f>
        <v>4523465.21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46086.223989999999</v>
      </c>
      <c r="E47" s="149">
        <v>36024.639300000003</v>
      </c>
    </row>
    <row r="48" spans="2:6">
      <c r="B48" s="187" t="s">
        <v>6</v>
      </c>
      <c r="C48" s="188" t="s">
        <v>41</v>
      </c>
      <c r="D48" s="207">
        <v>36024.639300000003</v>
      </c>
      <c r="E48" s="149">
        <v>24924.046539999999</v>
      </c>
    </row>
    <row r="49" spans="2:5">
      <c r="B49" s="120" t="s">
        <v>23</v>
      </c>
      <c r="C49" s="124" t="s">
        <v>113</v>
      </c>
      <c r="D49" s="208"/>
      <c r="E49" s="149"/>
    </row>
    <row r="50" spans="2:5">
      <c r="B50" s="185" t="s">
        <v>4</v>
      </c>
      <c r="C50" s="186" t="s">
        <v>40</v>
      </c>
      <c r="D50" s="207">
        <v>169.22</v>
      </c>
      <c r="E50" s="149">
        <v>148.21</v>
      </c>
    </row>
    <row r="51" spans="2:5">
      <c r="B51" s="185" t="s">
        <v>6</v>
      </c>
      <c r="C51" s="186" t="s">
        <v>114</v>
      </c>
      <c r="D51" s="207">
        <v>145.28</v>
      </c>
      <c r="E51" s="75">
        <v>147.83000000000001</v>
      </c>
    </row>
    <row r="52" spans="2:5">
      <c r="B52" s="185" t="s">
        <v>8</v>
      </c>
      <c r="C52" s="186" t="s">
        <v>115</v>
      </c>
      <c r="D52" s="207">
        <v>175.39</v>
      </c>
      <c r="E52" s="75">
        <v>183.18</v>
      </c>
    </row>
    <row r="53" spans="2:5" ht="12.75" customHeight="1" thickBot="1">
      <c r="B53" s="189" t="s">
        <v>9</v>
      </c>
      <c r="C53" s="190" t="s">
        <v>41</v>
      </c>
      <c r="D53" s="209">
        <v>148.21</v>
      </c>
      <c r="E53" s="233">
        <v>181.49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6.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4523465.21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3.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4523465.21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4523465.21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4523465.21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2"/>
  <dimension ref="A1:G81"/>
  <sheetViews>
    <sheetView zoomScale="80" zoomScaleNormal="80" workbookViewId="0">
      <selection activeCell="E41" sqref="E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38"/>
      <c r="C4" s="138"/>
      <c r="D4" s="138"/>
      <c r="E4" s="138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191</v>
      </c>
      <c r="C6" s="359"/>
      <c r="D6" s="359"/>
      <c r="E6" s="359"/>
    </row>
    <row r="7" spans="2:7" ht="14.25">
      <c r="B7" s="136"/>
      <c r="C7" s="136"/>
      <c r="D7" s="136"/>
      <c r="E7" s="136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37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12495527.130000001</v>
      </c>
      <c r="E11" s="244">
        <f>SUM(E12:E14)</f>
        <v>6222312.5700000003</v>
      </c>
    </row>
    <row r="12" spans="2:7">
      <c r="B12" s="174" t="s">
        <v>4</v>
      </c>
      <c r="C12" s="175" t="s">
        <v>5</v>
      </c>
      <c r="D12" s="283">
        <v>12495527.130000001</v>
      </c>
      <c r="E12" s="304">
        <v>6222312.5700000003</v>
      </c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12495527.130000001</v>
      </c>
      <c r="E21" s="148">
        <f>E11-E17</f>
        <v>6222312.5700000003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16368771.6</v>
      </c>
      <c r="E26" s="231">
        <f>D21</f>
        <v>12495527.130000001</v>
      </c>
    </row>
    <row r="27" spans="2:6">
      <c r="B27" s="9" t="s">
        <v>17</v>
      </c>
      <c r="C27" s="10" t="s">
        <v>111</v>
      </c>
      <c r="D27" s="202">
        <v>-3213890.12</v>
      </c>
      <c r="E27" s="224">
        <v>-7228860.1900000004</v>
      </c>
      <c r="F27" s="71"/>
    </row>
    <row r="28" spans="2:6">
      <c r="B28" s="9" t="s">
        <v>18</v>
      </c>
      <c r="C28" s="10" t="s">
        <v>19</v>
      </c>
      <c r="D28" s="202">
        <v>0</v>
      </c>
      <c r="E28" s="225">
        <v>0</v>
      </c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/>
      <c r="E31" s="226"/>
      <c r="F31" s="71"/>
    </row>
    <row r="32" spans="2:6">
      <c r="B32" s="92" t="s">
        <v>23</v>
      </c>
      <c r="C32" s="11" t="s">
        <v>24</v>
      </c>
      <c r="D32" s="202">
        <v>3213890.12</v>
      </c>
      <c r="E32" s="225">
        <v>7228860.1900000004</v>
      </c>
      <c r="F32" s="71"/>
    </row>
    <row r="33" spans="2:6">
      <c r="B33" s="182" t="s">
        <v>4</v>
      </c>
      <c r="C33" s="175" t="s">
        <v>25</v>
      </c>
      <c r="D33" s="203">
        <v>2495012.63</v>
      </c>
      <c r="E33" s="226">
        <v>2228319.0099999998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11268.37</v>
      </c>
      <c r="E35" s="226">
        <v>13941.11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249510.73</v>
      </c>
      <c r="E37" s="226">
        <v>137873.37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>
        <v>458098.39</v>
      </c>
      <c r="E39" s="227">
        <v>4848726.7</v>
      </c>
      <c r="F39" s="71"/>
    </row>
    <row r="40" spans="2:6" ht="13.5" thickBot="1">
      <c r="B40" s="97" t="s">
        <v>35</v>
      </c>
      <c r="C40" s="98" t="s">
        <v>36</v>
      </c>
      <c r="D40" s="205">
        <v>-659354.35</v>
      </c>
      <c r="E40" s="232">
        <v>955645.63</v>
      </c>
    </row>
    <row r="41" spans="2:6" ht="13.5" thickBot="1">
      <c r="B41" s="99" t="s">
        <v>37</v>
      </c>
      <c r="C41" s="100" t="s">
        <v>38</v>
      </c>
      <c r="D41" s="206">
        <v>12495527.130000001</v>
      </c>
      <c r="E41" s="148">
        <f>E26+E27+E40</f>
        <v>6222312.5700000003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91892.278649999993</v>
      </c>
      <c r="E47" s="149">
        <v>73339.166200000007</v>
      </c>
    </row>
    <row r="48" spans="2:6">
      <c r="B48" s="187" t="s">
        <v>6</v>
      </c>
      <c r="C48" s="188" t="s">
        <v>41</v>
      </c>
      <c r="D48" s="207">
        <v>73339.166200000007</v>
      </c>
      <c r="E48" s="149">
        <v>33056.965250000001</v>
      </c>
    </row>
    <row r="49" spans="2:5">
      <c r="B49" s="120" t="s">
        <v>23</v>
      </c>
      <c r="C49" s="124" t="s">
        <v>113</v>
      </c>
      <c r="D49" s="208"/>
      <c r="E49" s="149"/>
    </row>
    <row r="50" spans="2:5">
      <c r="B50" s="185" t="s">
        <v>4</v>
      </c>
      <c r="C50" s="186" t="s">
        <v>40</v>
      </c>
      <c r="D50" s="207">
        <v>178.13</v>
      </c>
      <c r="E50" s="149">
        <v>170.38</v>
      </c>
    </row>
    <row r="51" spans="2:5">
      <c r="B51" s="185" t="s">
        <v>6</v>
      </c>
      <c r="C51" s="186" t="s">
        <v>114</v>
      </c>
      <c r="D51" s="207">
        <v>170.05</v>
      </c>
      <c r="E51" s="149">
        <v>170.36</v>
      </c>
    </row>
    <row r="52" spans="2:5">
      <c r="B52" s="185" t="s">
        <v>8</v>
      </c>
      <c r="C52" s="186" t="s">
        <v>115</v>
      </c>
      <c r="D52" s="207">
        <v>180.55</v>
      </c>
      <c r="E52" s="75">
        <v>188.26</v>
      </c>
    </row>
    <row r="53" spans="2:5" ht="13.5" customHeight="1" thickBot="1">
      <c r="B53" s="189" t="s">
        <v>9</v>
      </c>
      <c r="C53" s="190" t="s">
        <v>41</v>
      </c>
      <c r="D53" s="209">
        <v>170.38</v>
      </c>
      <c r="E53" s="233">
        <v>188.23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7.2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6222312.5700000003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6222312.5700000003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6222312.5700000003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6222312.5700000003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3"/>
  <dimension ref="A1:G81"/>
  <sheetViews>
    <sheetView zoomScale="80" zoomScaleNormal="80" workbookViewId="0">
      <selection activeCell="K24" sqref="K2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38"/>
      <c r="C4" s="138"/>
      <c r="D4" s="138"/>
      <c r="E4" s="138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192</v>
      </c>
      <c r="C6" s="359"/>
      <c r="D6" s="359"/>
      <c r="E6" s="359"/>
    </row>
    <row r="7" spans="2:7" ht="14.25">
      <c r="B7" s="136"/>
      <c r="C7" s="136"/>
      <c r="D7" s="136"/>
      <c r="E7" s="136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37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6626092.6600000001</v>
      </c>
      <c r="E11" s="244">
        <f>SUM(E12:E14)</f>
        <v>5901768.1600000001</v>
      </c>
    </row>
    <row r="12" spans="2:7">
      <c r="B12" s="174" t="s">
        <v>4</v>
      </c>
      <c r="C12" s="175" t="s">
        <v>5</v>
      </c>
      <c r="D12" s="283">
        <v>6626092.6600000001</v>
      </c>
      <c r="E12" s="304">
        <f>5901783.33-15.17</f>
        <v>5901768.1600000001</v>
      </c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6626092.6600000001</v>
      </c>
      <c r="E21" s="148">
        <f>E11-E17</f>
        <v>5901768.1600000001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10413724.82</v>
      </c>
      <c r="E26" s="231">
        <f>D21</f>
        <v>6626092.6600000001</v>
      </c>
    </row>
    <row r="27" spans="2:6">
      <c r="B27" s="9" t="s">
        <v>17</v>
      </c>
      <c r="C27" s="10" t="s">
        <v>111</v>
      </c>
      <c r="D27" s="202">
        <v>-3197788.12</v>
      </c>
      <c r="E27" s="224">
        <f>E28-E32</f>
        <v>-2246748.9199999995</v>
      </c>
      <c r="F27" s="71"/>
    </row>
    <row r="28" spans="2:6">
      <c r="B28" s="9" t="s">
        <v>18</v>
      </c>
      <c r="C28" s="10" t="s">
        <v>19</v>
      </c>
      <c r="D28" s="202">
        <v>368435.29</v>
      </c>
      <c r="E28" s="225">
        <v>118770.43</v>
      </c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>
        <v>368435.29</v>
      </c>
      <c r="E31" s="226">
        <v>118770.43</v>
      </c>
      <c r="F31" s="71"/>
    </row>
    <row r="32" spans="2:6">
      <c r="B32" s="92" t="s">
        <v>23</v>
      </c>
      <c r="C32" s="11" t="s">
        <v>24</v>
      </c>
      <c r="D32" s="202">
        <v>3566223.41</v>
      </c>
      <c r="E32" s="225">
        <f>SUM(E33:E39)</f>
        <v>2365519.3499999996</v>
      </c>
      <c r="F32" s="71"/>
    </row>
    <row r="33" spans="2:6">
      <c r="B33" s="182" t="s">
        <v>4</v>
      </c>
      <c r="C33" s="175" t="s">
        <v>25</v>
      </c>
      <c r="D33" s="203">
        <v>2469572.2199999997</v>
      </c>
      <c r="E33" s="226">
        <f>1991340.21+3.09</f>
        <v>1991343.3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22171.89</v>
      </c>
      <c r="E35" s="226">
        <v>13956.7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126628.66</v>
      </c>
      <c r="E37" s="226">
        <v>107278.65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>
        <v>947850.64</v>
      </c>
      <c r="E39" s="227">
        <v>252940.69999999969</v>
      </c>
      <c r="F39" s="71"/>
    </row>
    <row r="40" spans="2:6" ht="13.5" thickBot="1">
      <c r="B40" s="97" t="s">
        <v>35</v>
      </c>
      <c r="C40" s="98" t="s">
        <v>36</v>
      </c>
      <c r="D40" s="205">
        <v>-589844.04</v>
      </c>
      <c r="E40" s="232">
        <v>1522424.42</v>
      </c>
    </row>
    <row r="41" spans="2:6" ht="13.5" thickBot="1">
      <c r="B41" s="99" t="s">
        <v>37</v>
      </c>
      <c r="C41" s="100" t="s">
        <v>38</v>
      </c>
      <c r="D41" s="206">
        <v>6626092.6600000001</v>
      </c>
      <c r="E41" s="148">
        <f>E26+E27+E40</f>
        <v>5901768.1600000001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46425.593240000002</v>
      </c>
      <c r="E47" s="149">
        <v>32159.253830000001</v>
      </c>
    </row>
    <row r="48" spans="2:6">
      <c r="B48" s="187" t="s">
        <v>6</v>
      </c>
      <c r="C48" s="188" t="s">
        <v>41</v>
      </c>
      <c r="D48" s="207">
        <v>32159.253830000001</v>
      </c>
      <c r="E48" s="149">
        <v>22821.11349</v>
      </c>
    </row>
    <row r="49" spans="2:5">
      <c r="B49" s="120" t="s">
        <v>23</v>
      </c>
      <c r="C49" s="124" t="s">
        <v>113</v>
      </c>
      <c r="D49" s="208"/>
      <c r="E49" s="149"/>
    </row>
    <row r="50" spans="2:5">
      <c r="B50" s="185" t="s">
        <v>4</v>
      </c>
      <c r="C50" s="186" t="s">
        <v>40</v>
      </c>
      <c r="D50" s="207">
        <v>224.31</v>
      </c>
      <c r="E50" s="149">
        <v>206.04</v>
      </c>
    </row>
    <row r="51" spans="2:5">
      <c r="B51" s="185" t="s">
        <v>6</v>
      </c>
      <c r="C51" s="186" t="s">
        <v>114</v>
      </c>
      <c r="D51" s="207">
        <v>203.72</v>
      </c>
      <c r="E51" s="75">
        <v>205.27</v>
      </c>
    </row>
    <row r="52" spans="2:5">
      <c r="B52" s="185" t="s">
        <v>8</v>
      </c>
      <c r="C52" s="186" t="s">
        <v>115</v>
      </c>
      <c r="D52" s="207">
        <v>234.86</v>
      </c>
      <c r="E52" s="75">
        <v>261.02</v>
      </c>
    </row>
    <row r="53" spans="2:5" ht="13.5" customHeight="1" thickBot="1">
      <c r="B53" s="189" t="s">
        <v>9</v>
      </c>
      <c r="C53" s="190" t="s">
        <v>41</v>
      </c>
      <c r="D53" s="209">
        <v>206.04</v>
      </c>
      <c r="E53" s="233">
        <v>258.61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6.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5901768.1600000001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3.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E12</f>
        <v>5901768.1600000001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0" t="s">
        <v>64</v>
      </c>
      <c r="C74" s="121" t="s">
        <v>66</v>
      </c>
      <c r="D74" s="122">
        <f>D58-D73</f>
        <v>5901768.1600000001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5901768.1600000001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4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38"/>
      <c r="C4" s="138"/>
      <c r="D4" s="138"/>
      <c r="E4" s="138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193</v>
      </c>
      <c r="C6" s="359"/>
      <c r="D6" s="359"/>
      <c r="E6" s="359"/>
    </row>
    <row r="7" spans="2:7" ht="14.25">
      <c r="B7" s="136"/>
      <c r="C7" s="136"/>
      <c r="D7" s="136"/>
      <c r="E7" s="136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37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3323449.45</v>
      </c>
      <c r="E11" s="244">
        <f>SUM(E12:E14)</f>
        <v>3708226.65</v>
      </c>
    </row>
    <row r="12" spans="2:7">
      <c r="B12" s="174" t="s">
        <v>4</v>
      </c>
      <c r="C12" s="175" t="s">
        <v>5</v>
      </c>
      <c r="D12" s="283">
        <v>3323449.45</v>
      </c>
      <c r="E12" s="304">
        <f>3708234.61-7.96</f>
        <v>3708226.65</v>
      </c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3323449.45</v>
      </c>
      <c r="E21" s="148">
        <f>E11-E17</f>
        <v>3708226.65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4987681.6399999997</v>
      </c>
      <c r="E26" s="231">
        <f>D21</f>
        <v>3323449.45</v>
      </c>
    </row>
    <row r="27" spans="2:6">
      <c r="B27" s="9" t="s">
        <v>17</v>
      </c>
      <c r="C27" s="10" t="s">
        <v>111</v>
      </c>
      <c r="D27" s="202">
        <v>-793785.52</v>
      </c>
      <c r="E27" s="224">
        <f>E28-E32</f>
        <v>-194057.52</v>
      </c>
      <c r="F27" s="71"/>
    </row>
    <row r="28" spans="2:6">
      <c r="B28" s="9" t="s">
        <v>18</v>
      </c>
      <c r="C28" s="10" t="s">
        <v>19</v>
      </c>
      <c r="D28" s="202">
        <v>521722.03</v>
      </c>
      <c r="E28" s="225">
        <v>146.57</v>
      </c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>
        <v>521722.03</v>
      </c>
      <c r="E31" s="226">
        <v>146.57</v>
      </c>
      <c r="F31" s="71"/>
    </row>
    <row r="32" spans="2:6">
      <c r="B32" s="92" t="s">
        <v>23</v>
      </c>
      <c r="C32" s="11" t="s">
        <v>24</v>
      </c>
      <c r="D32" s="202">
        <v>1315507.55</v>
      </c>
      <c r="E32" s="225">
        <f>SUM(E33:E39)</f>
        <v>194204.09</v>
      </c>
      <c r="F32" s="71"/>
    </row>
    <row r="33" spans="2:6">
      <c r="B33" s="182" t="s">
        <v>4</v>
      </c>
      <c r="C33" s="175" t="s">
        <v>25</v>
      </c>
      <c r="D33" s="203">
        <v>937477.76</v>
      </c>
      <c r="E33" s="226">
        <f>91986.54+1.21</f>
        <v>91987.75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4827.24</v>
      </c>
      <c r="E35" s="226">
        <v>3121.74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69656.73</v>
      </c>
      <c r="E37" s="226">
        <v>55286.61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>
        <v>303545.82</v>
      </c>
      <c r="E39" s="227">
        <v>43807.99</v>
      </c>
      <c r="F39" s="71"/>
    </row>
    <row r="40" spans="2:6" ht="13.5" thickBot="1">
      <c r="B40" s="97" t="s">
        <v>35</v>
      </c>
      <c r="C40" s="98" t="s">
        <v>36</v>
      </c>
      <c r="D40" s="205">
        <v>-870446.67</v>
      </c>
      <c r="E40" s="232">
        <v>578834.72</v>
      </c>
    </row>
    <row r="41" spans="2:6" ht="13.5" thickBot="1">
      <c r="B41" s="99" t="s">
        <v>37</v>
      </c>
      <c r="C41" s="100" t="s">
        <v>38</v>
      </c>
      <c r="D41" s="206">
        <v>3323449.4499999997</v>
      </c>
      <c r="E41" s="148">
        <f>E26+E27+E40</f>
        <v>3708226.6500000004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22984.74639</v>
      </c>
      <c r="E47" s="149">
        <v>18916.55444</v>
      </c>
    </row>
    <row r="48" spans="2:6">
      <c r="B48" s="187" t="s">
        <v>6</v>
      </c>
      <c r="C48" s="188" t="s">
        <v>41</v>
      </c>
      <c r="D48" s="207">
        <v>18916.55444</v>
      </c>
      <c r="E48" s="149">
        <v>17901.166561999999</v>
      </c>
    </row>
    <row r="49" spans="2:5">
      <c r="B49" s="120" t="s">
        <v>23</v>
      </c>
      <c r="C49" s="124" t="s">
        <v>113</v>
      </c>
      <c r="D49" s="208"/>
      <c r="E49" s="149"/>
    </row>
    <row r="50" spans="2:5">
      <c r="B50" s="185" t="s">
        <v>4</v>
      </c>
      <c r="C50" s="186" t="s">
        <v>40</v>
      </c>
      <c r="D50" s="207">
        <v>217</v>
      </c>
      <c r="E50" s="149">
        <v>175.69</v>
      </c>
    </row>
    <row r="51" spans="2:5">
      <c r="B51" s="185" t="s">
        <v>6</v>
      </c>
      <c r="C51" s="186" t="s">
        <v>114</v>
      </c>
      <c r="D51" s="207">
        <v>173.43</v>
      </c>
      <c r="E51" s="75">
        <v>172.38</v>
      </c>
    </row>
    <row r="52" spans="2:5">
      <c r="B52" s="185" t="s">
        <v>8</v>
      </c>
      <c r="C52" s="186" t="s">
        <v>115</v>
      </c>
      <c r="D52" s="207">
        <v>228.07</v>
      </c>
      <c r="E52" s="75">
        <v>210.55</v>
      </c>
    </row>
    <row r="53" spans="2:5" ht="12.75" customHeight="1" thickBot="1">
      <c r="B53" s="189" t="s">
        <v>9</v>
      </c>
      <c r="C53" s="190" t="s">
        <v>41</v>
      </c>
      <c r="D53" s="209">
        <v>175.69</v>
      </c>
      <c r="E53" s="233">
        <v>207.15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7.2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3708226.65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 ht="12.75" customHeight="1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3708226.65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3708226.65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3708226.65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6999999999999995" right="0.75" top="0.6" bottom="0.49" header="0.5" footer="0.5"/>
  <pageSetup paperSize="9" scale="70" orientation="portrait" r:id="rId1"/>
  <headerFooter alignWithMargins="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5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38"/>
      <c r="C4" s="138"/>
      <c r="D4" s="138"/>
      <c r="E4" s="138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194</v>
      </c>
      <c r="C6" s="359"/>
      <c r="D6" s="359"/>
      <c r="E6" s="359"/>
    </row>
    <row r="7" spans="2:7" ht="14.25">
      <c r="B7" s="136"/>
      <c r="C7" s="136"/>
      <c r="D7" s="136"/>
      <c r="E7" s="136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37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243859.62</v>
      </c>
      <c r="E11" s="244">
        <f>SUM(E12:E14)</f>
        <v>246269.2</v>
      </c>
    </row>
    <row r="12" spans="2:7">
      <c r="B12" s="174" t="s">
        <v>4</v>
      </c>
      <c r="C12" s="175" t="s">
        <v>5</v>
      </c>
      <c r="D12" s="283">
        <v>243859.62</v>
      </c>
      <c r="E12" s="304">
        <v>246269.2</v>
      </c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243859.62</v>
      </c>
      <c r="E21" s="148">
        <f>E11-E17</f>
        <v>246269.2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1206746.97</v>
      </c>
      <c r="E26" s="231">
        <f>D21</f>
        <v>243859.62</v>
      </c>
    </row>
    <row r="27" spans="2:6">
      <c r="B27" s="9" t="s">
        <v>17</v>
      </c>
      <c r="C27" s="10" t="s">
        <v>111</v>
      </c>
      <c r="D27" s="202">
        <v>-910629.29999999993</v>
      </c>
      <c r="E27" s="224">
        <v>-35026.239999999998</v>
      </c>
      <c r="F27" s="71"/>
    </row>
    <row r="28" spans="2:6">
      <c r="B28" s="9" t="s">
        <v>18</v>
      </c>
      <c r="C28" s="10" t="s">
        <v>19</v>
      </c>
      <c r="D28" s="202">
        <v>0</v>
      </c>
      <c r="E28" s="225">
        <v>0</v>
      </c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/>
      <c r="E31" s="226"/>
      <c r="F31" s="71"/>
    </row>
    <row r="32" spans="2:6">
      <c r="B32" s="92" t="s">
        <v>23</v>
      </c>
      <c r="C32" s="11" t="s">
        <v>24</v>
      </c>
      <c r="D32" s="202">
        <v>910629.29999999993</v>
      </c>
      <c r="E32" s="225">
        <v>35026.239999999998</v>
      </c>
      <c r="F32" s="71"/>
    </row>
    <row r="33" spans="2:6">
      <c r="B33" s="182" t="s">
        <v>4</v>
      </c>
      <c r="C33" s="175" t="s">
        <v>25</v>
      </c>
      <c r="D33" s="203">
        <v>83138.509999999995</v>
      </c>
      <c r="E33" s="226">
        <v>31256.69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932.32</v>
      </c>
      <c r="E35" s="226">
        <v>19.62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10707.5</v>
      </c>
      <c r="E37" s="226">
        <v>3749.93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>
        <v>815850.97</v>
      </c>
      <c r="E39" s="227"/>
      <c r="F39" s="71"/>
    </row>
    <row r="40" spans="2:6" ht="13.5" thickBot="1">
      <c r="B40" s="97" t="s">
        <v>35</v>
      </c>
      <c r="C40" s="98" t="s">
        <v>36</v>
      </c>
      <c r="D40" s="205">
        <v>-52258.05</v>
      </c>
      <c r="E40" s="232">
        <v>37435.82</v>
      </c>
    </row>
    <row r="41" spans="2:6" ht="13.5" thickBot="1">
      <c r="B41" s="99" t="s">
        <v>37</v>
      </c>
      <c r="C41" s="100" t="s">
        <v>38</v>
      </c>
      <c r="D41" s="206">
        <v>243859.62000000005</v>
      </c>
      <c r="E41" s="148">
        <f>E26+E27+E40</f>
        <v>246269.2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8875.0972600000005</v>
      </c>
      <c r="E47" s="149">
        <v>2055.2854000000002</v>
      </c>
    </row>
    <row r="48" spans="2:6">
      <c r="B48" s="187" t="s">
        <v>6</v>
      </c>
      <c r="C48" s="188" t="s">
        <v>41</v>
      </c>
      <c r="D48" s="207">
        <v>2055.2854000000002</v>
      </c>
      <c r="E48" s="149">
        <v>1782.75083</v>
      </c>
    </row>
    <row r="49" spans="2:5">
      <c r="B49" s="120" t="s">
        <v>23</v>
      </c>
      <c r="C49" s="124" t="s">
        <v>113</v>
      </c>
      <c r="D49" s="208"/>
      <c r="E49" s="149"/>
    </row>
    <row r="50" spans="2:5">
      <c r="B50" s="185" t="s">
        <v>4</v>
      </c>
      <c r="C50" s="186" t="s">
        <v>40</v>
      </c>
      <c r="D50" s="207">
        <v>135.97</v>
      </c>
      <c r="E50" s="149">
        <v>118.65</v>
      </c>
    </row>
    <row r="51" spans="2:5">
      <c r="B51" s="185" t="s">
        <v>6</v>
      </c>
      <c r="C51" s="186" t="s">
        <v>114</v>
      </c>
      <c r="D51" s="207">
        <v>114.83</v>
      </c>
      <c r="E51" s="75">
        <v>115.46000000000001</v>
      </c>
    </row>
    <row r="52" spans="2:5">
      <c r="B52" s="185" t="s">
        <v>8</v>
      </c>
      <c r="C52" s="186" t="s">
        <v>115</v>
      </c>
      <c r="D52" s="207">
        <v>141.52000000000001</v>
      </c>
      <c r="E52" s="75">
        <v>138.25</v>
      </c>
    </row>
    <row r="53" spans="2:5" ht="13.5" customHeight="1" thickBot="1">
      <c r="B53" s="189" t="s">
        <v>9</v>
      </c>
      <c r="C53" s="190" t="s">
        <v>41</v>
      </c>
      <c r="D53" s="209">
        <v>118.65</v>
      </c>
      <c r="E53" s="233">
        <v>138.13999999999999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5.7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246269.2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246269.2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246269.2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246269.2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6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38"/>
      <c r="C4" s="138"/>
      <c r="D4" s="138"/>
      <c r="E4" s="138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195</v>
      </c>
      <c r="C6" s="359"/>
      <c r="D6" s="359"/>
      <c r="E6" s="359"/>
    </row>
    <row r="7" spans="2:7" ht="14.25">
      <c r="B7" s="136"/>
      <c r="C7" s="136"/>
      <c r="D7" s="136"/>
      <c r="E7" s="136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37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3172633.79</v>
      </c>
      <c r="E11" s="244">
        <f>SUM(E12:E14)</f>
        <v>1848451.8</v>
      </c>
    </row>
    <row r="12" spans="2:7">
      <c r="B12" s="174" t="s">
        <v>4</v>
      </c>
      <c r="C12" s="175" t="s">
        <v>5</v>
      </c>
      <c r="D12" s="283">
        <v>3172633.79</v>
      </c>
      <c r="E12" s="304">
        <v>1848451.8</v>
      </c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3172633.79</v>
      </c>
      <c r="E21" s="148">
        <f>E11-E17</f>
        <v>1848451.8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3448197.9</v>
      </c>
      <c r="E26" s="231">
        <f>D21</f>
        <v>3172633.79</v>
      </c>
    </row>
    <row r="27" spans="2:6">
      <c r="B27" s="9" t="s">
        <v>17</v>
      </c>
      <c r="C27" s="10" t="s">
        <v>111</v>
      </c>
      <c r="D27" s="202">
        <v>219128.67999999993</v>
      </c>
      <c r="E27" s="224">
        <v>-1574750.03</v>
      </c>
      <c r="F27" s="71"/>
    </row>
    <row r="28" spans="2:6">
      <c r="B28" s="9" t="s">
        <v>18</v>
      </c>
      <c r="C28" s="10" t="s">
        <v>19</v>
      </c>
      <c r="D28" s="202">
        <v>763719.48</v>
      </c>
      <c r="E28" s="225">
        <v>226911.35</v>
      </c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>
        <v>763719.48</v>
      </c>
      <c r="E31" s="226">
        <v>226911.35</v>
      </c>
      <c r="F31" s="71"/>
    </row>
    <row r="32" spans="2:6">
      <c r="B32" s="92" t="s">
        <v>23</v>
      </c>
      <c r="C32" s="11" t="s">
        <v>24</v>
      </c>
      <c r="D32" s="202">
        <v>544590.80000000005</v>
      </c>
      <c r="E32" s="225">
        <v>1801661.38</v>
      </c>
      <c r="F32" s="71"/>
    </row>
    <row r="33" spans="2:6">
      <c r="B33" s="182" t="s">
        <v>4</v>
      </c>
      <c r="C33" s="175" t="s">
        <v>25</v>
      </c>
      <c r="D33" s="203">
        <v>482867.83</v>
      </c>
      <c r="E33" s="226">
        <v>1756682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5094.3999999999996</v>
      </c>
      <c r="E35" s="226">
        <v>3531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56628.57</v>
      </c>
      <c r="E37" s="226">
        <v>41448.379999999997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/>
      <c r="E39" s="227"/>
      <c r="F39" s="71"/>
    </row>
    <row r="40" spans="2:6" ht="13.5" thickBot="1">
      <c r="B40" s="97" t="s">
        <v>35</v>
      </c>
      <c r="C40" s="98" t="s">
        <v>36</v>
      </c>
      <c r="D40" s="205">
        <v>-494692.79</v>
      </c>
      <c r="E40" s="232">
        <v>250568.04</v>
      </c>
    </row>
    <row r="41" spans="2:6" ht="13.5" thickBot="1">
      <c r="B41" s="99" t="s">
        <v>37</v>
      </c>
      <c r="C41" s="100" t="s">
        <v>38</v>
      </c>
      <c r="D41" s="206">
        <v>3172633.79</v>
      </c>
      <c r="E41" s="148">
        <f>E26+E27+E40</f>
        <v>1848451.8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35754.851690000003</v>
      </c>
      <c r="E47" s="149">
        <v>37193.830999999998</v>
      </c>
    </row>
    <row r="48" spans="2:6">
      <c r="B48" s="187" t="s">
        <v>6</v>
      </c>
      <c r="C48" s="188" t="s">
        <v>41</v>
      </c>
      <c r="D48" s="207">
        <v>37193.830999999998</v>
      </c>
      <c r="E48" s="149">
        <v>19721.026320000001</v>
      </c>
    </row>
    <row r="49" spans="2:5">
      <c r="B49" s="120" t="s">
        <v>23</v>
      </c>
      <c r="C49" s="124" t="s">
        <v>113</v>
      </c>
      <c r="D49" s="208"/>
      <c r="E49" s="149"/>
    </row>
    <row r="50" spans="2:5">
      <c r="B50" s="185" t="s">
        <v>4</v>
      </c>
      <c r="C50" s="186" t="s">
        <v>40</v>
      </c>
      <c r="D50" s="207">
        <v>96.44</v>
      </c>
      <c r="E50" s="149">
        <v>85.3</v>
      </c>
    </row>
    <row r="51" spans="2:5">
      <c r="B51" s="185" t="s">
        <v>6</v>
      </c>
      <c r="C51" s="186" t="s">
        <v>114</v>
      </c>
      <c r="D51" s="207">
        <v>82.19</v>
      </c>
      <c r="E51" s="149">
        <v>85.3</v>
      </c>
    </row>
    <row r="52" spans="2:5">
      <c r="B52" s="185" t="s">
        <v>8</v>
      </c>
      <c r="C52" s="186" t="s">
        <v>115</v>
      </c>
      <c r="D52" s="207">
        <v>101.41</v>
      </c>
      <c r="E52" s="75">
        <v>93.73</v>
      </c>
    </row>
    <row r="53" spans="2:5" ht="12.75" customHeight="1" thickBot="1">
      <c r="B53" s="189" t="s">
        <v>9</v>
      </c>
      <c r="C53" s="190" t="s">
        <v>41</v>
      </c>
      <c r="D53" s="209">
        <v>85.3</v>
      </c>
      <c r="E53" s="233">
        <v>93.73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6.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1848451.8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1848451.8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1848451.8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1848451.8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7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38"/>
      <c r="C4" s="138"/>
      <c r="D4" s="138"/>
      <c r="E4" s="138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196</v>
      </c>
      <c r="C6" s="359"/>
      <c r="D6" s="359"/>
      <c r="E6" s="359"/>
    </row>
    <row r="7" spans="2:7" ht="14.25">
      <c r="B7" s="136"/>
      <c r="C7" s="136"/>
      <c r="D7" s="136"/>
      <c r="E7" s="136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37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620886.81000000006</v>
      </c>
      <c r="E11" s="244">
        <f>SUM(E12:E14)</f>
        <v>614174.27</v>
      </c>
    </row>
    <row r="12" spans="2:7">
      <c r="B12" s="174" t="s">
        <v>4</v>
      </c>
      <c r="C12" s="175" t="s">
        <v>5</v>
      </c>
      <c r="D12" s="283">
        <v>620886.81000000006</v>
      </c>
      <c r="E12" s="304">
        <v>614174.27</v>
      </c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620886.81000000006</v>
      </c>
      <c r="E21" s="148">
        <f>E11-E17</f>
        <v>614174.27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1563677.38</v>
      </c>
      <c r="E26" s="231">
        <f>D21</f>
        <v>620886.81000000006</v>
      </c>
    </row>
    <row r="27" spans="2:6">
      <c r="B27" s="9" t="s">
        <v>17</v>
      </c>
      <c r="C27" s="10" t="s">
        <v>111</v>
      </c>
      <c r="D27" s="202">
        <v>-901993.3899999999</v>
      </c>
      <c r="E27" s="224">
        <v>-140328.82</v>
      </c>
      <c r="F27" s="71"/>
    </row>
    <row r="28" spans="2:6">
      <c r="B28" s="9" t="s">
        <v>18</v>
      </c>
      <c r="C28" s="10" t="s">
        <v>19</v>
      </c>
      <c r="D28" s="202">
        <v>20071.66</v>
      </c>
      <c r="E28" s="225">
        <v>94975.62</v>
      </c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>
        <v>20071.66</v>
      </c>
      <c r="E31" s="226">
        <v>94975.62</v>
      </c>
      <c r="F31" s="71"/>
    </row>
    <row r="32" spans="2:6">
      <c r="B32" s="92" t="s">
        <v>23</v>
      </c>
      <c r="C32" s="11" t="s">
        <v>24</v>
      </c>
      <c r="D32" s="202">
        <v>922065.04999999993</v>
      </c>
      <c r="E32" s="225">
        <v>235304.44</v>
      </c>
      <c r="F32" s="71"/>
    </row>
    <row r="33" spans="2:6">
      <c r="B33" s="182" t="s">
        <v>4</v>
      </c>
      <c r="C33" s="175" t="s">
        <v>25</v>
      </c>
      <c r="D33" s="203">
        <v>900657.49</v>
      </c>
      <c r="E33" s="226">
        <v>82078.960000000006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704.44</v>
      </c>
      <c r="E35" s="226">
        <v>448.13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20703.12</v>
      </c>
      <c r="E37" s="226">
        <v>11077.05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/>
      <c r="E39" s="227">
        <v>141700.29999999999</v>
      </c>
      <c r="F39" s="71"/>
    </row>
    <row r="40" spans="2:6" ht="13.5" thickBot="1">
      <c r="B40" s="97" t="s">
        <v>35</v>
      </c>
      <c r="C40" s="98" t="s">
        <v>36</v>
      </c>
      <c r="D40" s="205">
        <v>-40797.18</v>
      </c>
      <c r="E40" s="232">
        <v>133616.28</v>
      </c>
    </row>
    <row r="41" spans="2:6" ht="13.5" thickBot="1">
      <c r="B41" s="99" t="s">
        <v>37</v>
      </c>
      <c r="C41" s="100" t="s">
        <v>38</v>
      </c>
      <c r="D41" s="206">
        <v>620886.80999999994</v>
      </c>
      <c r="E41" s="148">
        <f>E26+E27+E40</f>
        <v>614174.27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7552.9023999999999</v>
      </c>
      <c r="E47" s="149">
        <v>3346.9182999999998</v>
      </c>
    </row>
    <row r="48" spans="2:6">
      <c r="B48" s="187" t="s">
        <v>6</v>
      </c>
      <c r="C48" s="188" t="s">
        <v>41</v>
      </c>
      <c r="D48" s="207">
        <v>3346.9182999999998</v>
      </c>
      <c r="E48" s="149">
        <v>2707.7606500000002</v>
      </c>
    </row>
    <row r="49" spans="2:5">
      <c r="B49" s="120" t="s">
        <v>23</v>
      </c>
      <c r="C49" s="124" t="s">
        <v>113</v>
      </c>
      <c r="D49" s="208"/>
      <c r="E49" s="149"/>
    </row>
    <row r="50" spans="2:5">
      <c r="B50" s="185" t="s">
        <v>4</v>
      </c>
      <c r="C50" s="186" t="s">
        <v>40</v>
      </c>
      <c r="D50" s="207">
        <v>207.03</v>
      </c>
      <c r="E50" s="149">
        <v>185.51</v>
      </c>
    </row>
    <row r="51" spans="2:5">
      <c r="B51" s="185" t="s">
        <v>6</v>
      </c>
      <c r="C51" s="186" t="s">
        <v>114</v>
      </c>
      <c r="D51" s="207">
        <v>182.06</v>
      </c>
      <c r="E51" s="75">
        <v>184.16</v>
      </c>
    </row>
    <row r="52" spans="2:5">
      <c r="B52" s="185" t="s">
        <v>8</v>
      </c>
      <c r="C52" s="186" t="s">
        <v>115</v>
      </c>
      <c r="D52" s="207">
        <v>218.44</v>
      </c>
      <c r="E52" s="75">
        <v>227.63</v>
      </c>
    </row>
    <row r="53" spans="2:5" ht="12.75" customHeight="1" thickBot="1">
      <c r="B53" s="189" t="s">
        <v>9</v>
      </c>
      <c r="C53" s="190" t="s">
        <v>41</v>
      </c>
      <c r="D53" s="209">
        <v>185.51</v>
      </c>
      <c r="E53" s="233">
        <v>226.82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6.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614174.27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614174.27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614174.27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614174.27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8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7" t="s">
        <v>0</v>
      </c>
      <c r="C2" s="357"/>
      <c r="D2" s="357"/>
      <c r="E2" s="357"/>
      <c r="G2" s="71"/>
    </row>
    <row r="3" spans="2:7" ht="15.75">
      <c r="B3" s="357" t="s">
        <v>267</v>
      </c>
      <c r="C3" s="357"/>
      <c r="D3" s="357"/>
      <c r="E3" s="357"/>
    </row>
    <row r="4" spans="2:7" ht="15">
      <c r="B4" s="138"/>
      <c r="C4" s="138"/>
      <c r="D4" s="138"/>
      <c r="E4" s="138"/>
    </row>
    <row r="5" spans="2:7" ht="21" customHeight="1">
      <c r="B5" s="358" t="s">
        <v>1</v>
      </c>
      <c r="C5" s="358"/>
      <c r="D5" s="358"/>
      <c r="E5" s="358"/>
    </row>
    <row r="6" spans="2:7" ht="14.25">
      <c r="B6" s="359" t="s">
        <v>197</v>
      </c>
      <c r="C6" s="359"/>
      <c r="D6" s="359"/>
      <c r="E6" s="359"/>
    </row>
    <row r="7" spans="2:7" ht="14.25">
      <c r="B7" s="136"/>
      <c r="C7" s="136"/>
      <c r="D7" s="136"/>
      <c r="E7" s="136"/>
    </row>
    <row r="8" spans="2:7" ht="13.5">
      <c r="B8" s="361" t="s">
        <v>18</v>
      </c>
      <c r="C8" s="363"/>
      <c r="D8" s="363"/>
      <c r="E8" s="363"/>
    </row>
    <row r="9" spans="2:7" ht="16.5" thickBot="1">
      <c r="B9" s="360" t="s">
        <v>103</v>
      </c>
      <c r="C9" s="360"/>
      <c r="D9" s="360"/>
      <c r="E9" s="360"/>
    </row>
    <row r="10" spans="2:7" ht="13.5" thickBot="1">
      <c r="B10" s="137"/>
      <c r="C10" s="76" t="s">
        <v>2</v>
      </c>
      <c r="D10" s="70" t="s">
        <v>125</v>
      </c>
      <c r="E10" s="319" t="s">
        <v>268</v>
      </c>
    </row>
    <row r="11" spans="2:7">
      <c r="B11" s="90" t="s">
        <v>3</v>
      </c>
      <c r="C11" s="128" t="s">
        <v>109</v>
      </c>
      <c r="D11" s="243">
        <v>57250.65</v>
      </c>
      <c r="E11" s="244">
        <f>SUM(E12:E14)</f>
        <v>53043.67</v>
      </c>
    </row>
    <row r="12" spans="2:7">
      <c r="B12" s="174" t="s">
        <v>4</v>
      </c>
      <c r="C12" s="175" t="s">
        <v>5</v>
      </c>
      <c r="D12" s="283">
        <v>57250.65</v>
      </c>
      <c r="E12" s="304">
        <v>53043.67</v>
      </c>
    </row>
    <row r="13" spans="2:7">
      <c r="B13" s="174" t="s">
        <v>6</v>
      </c>
      <c r="C13" s="176" t="s">
        <v>7</v>
      </c>
      <c r="D13" s="276"/>
      <c r="E13" s="305"/>
    </row>
    <row r="14" spans="2:7">
      <c r="B14" s="174" t="s">
        <v>8</v>
      </c>
      <c r="C14" s="176" t="s">
        <v>10</v>
      </c>
      <c r="D14" s="276"/>
      <c r="E14" s="305"/>
    </row>
    <row r="15" spans="2:7">
      <c r="B15" s="174" t="s">
        <v>106</v>
      </c>
      <c r="C15" s="176" t="s">
        <v>11</v>
      </c>
      <c r="D15" s="276"/>
      <c r="E15" s="305"/>
    </row>
    <row r="16" spans="2:7">
      <c r="B16" s="177" t="s">
        <v>107</v>
      </c>
      <c r="C16" s="178" t="s">
        <v>12</v>
      </c>
      <c r="D16" s="278"/>
      <c r="E16" s="306"/>
    </row>
    <row r="17" spans="2:6">
      <c r="B17" s="9" t="s">
        <v>13</v>
      </c>
      <c r="C17" s="11" t="s">
        <v>65</v>
      </c>
      <c r="D17" s="279"/>
      <c r="E17" s="307"/>
    </row>
    <row r="18" spans="2:6">
      <c r="B18" s="174" t="s">
        <v>4</v>
      </c>
      <c r="C18" s="175" t="s">
        <v>11</v>
      </c>
      <c r="D18" s="278"/>
      <c r="E18" s="306"/>
    </row>
    <row r="19" spans="2:6" ht="15" customHeight="1">
      <c r="B19" s="174" t="s">
        <v>6</v>
      </c>
      <c r="C19" s="176" t="s">
        <v>108</v>
      </c>
      <c r="D19" s="276"/>
      <c r="E19" s="305"/>
    </row>
    <row r="20" spans="2:6" ht="13.5" thickBot="1">
      <c r="B20" s="179" t="s">
        <v>8</v>
      </c>
      <c r="C20" s="180" t="s">
        <v>14</v>
      </c>
      <c r="D20" s="245"/>
      <c r="E20" s="246"/>
    </row>
    <row r="21" spans="2:6" ht="13.5" thickBot="1">
      <c r="B21" s="367" t="s">
        <v>110</v>
      </c>
      <c r="C21" s="368"/>
      <c r="D21" s="247">
        <v>57250.65</v>
      </c>
      <c r="E21" s="148">
        <f>E11-E17</f>
        <v>53043.67</v>
      </c>
      <c r="F21" s="77"/>
    </row>
    <row r="22" spans="2:6">
      <c r="B22" s="3"/>
      <c r="C22" s="7"/>
      <c r="D22" s="8"/>
      <c r="E22" s="8"/>
    </row>
    <row r="23" spans="2:6" ht="13.5">
      <c r="B23" s="361" t="s">
        <v>104</v>
      </c>
      <c r="C23" s="371"/>
      <c r="D23" s="371"/>
      <c r="E23" s="371"/>
    </row>
    <row r="24" spans="2:6" ht="15.75" customHeight="1" thickBot="1">
      <c r="B24" s="360" t="s">
        <v>105</v>
      </c>
      <c r="C24" s="372"/>
      <c r="D24" s="372"/>
      <c r="E24" s="372"/>
    </row>
    <row r="25" spans="2:6" ht="13.5" thickBot="1">
      <c r="B25" s="214"/>
      <c r="C25" s="181" t="s">
        <v>2</v>
      </c>
      <c r="D25" s="70" t="s">
        <v>125</v>
      </c>
      <c r="E25" s="319" t="s">
        <v>268</v>
      </c>
    </row>
    <row r="26" spans="2:6">
      <c r="B26" s="95" t="s">
        <v>15</v>
      </c>
      <c r="C26" s="96" t="s">
        <v>16</v>
      </c>
      <c r="D26" s="201">
        <v>85953.39</v>
      </c>
      <c r="E26" s="231">
        <f>D21</f>
        <v>57250.65</v>
      </c>
    </row>
    <row r="27" spans="2:6">
      <c r="B27" s="9" t="s">
        <v>17</v>
      </c>
      <c r="C27" s="10" t="s">
        <v>111</v>
      </c>
      <c r="D27" s="202">
        <v>-26738.39</v>
      </c>
      <c r="E27" s="224">
        <v>-7043.45</v>
      </c>
      <c r="F27" s="71"/>
    </row>
    <row r="28" spans="2:6">
      <c r="B28" s="9" t="s">
        <v>18</v>
      </c>
      <c r="C28" s="10" t="s">
        <v>19</v>
      </c>
      <c r="D28" s="202">
        <v>0</v>
      </c>
      <c r="E28" s="225">
        <v>0</v>
      </c>
      <c r="F28" s="71"/>
    </row>
    <row r="29" spans="2:6">
      <c r="B29" s="182" t="s">
        <v>4</v>
      </c>
      <c r="C29" s="175" t="s">
        <v>20</v>
      </c>
      <c r="D29" s="203"/>
      <c r="E29" s="226"/>
      <c r="F29" s="71"/>
    </row>
    <row r="30" spans="2:6">
      <c r="B30" s="182" t="s">
        <v>6</v>
      </c>
      <c r="C30" s="175" t="s">
        <v>21</v>
      </c>
      <c r="D30" s="203"/>
      <c r="E30" s="226"/>
      <c r="F30" s="71"/>
    </row>
    <row r="31" spans="2:6">
      <c r="B31" s="182" t="s">
        <v>8</v>
      </c>
      <c r="C31" s="175" t="s">
        <v>22</v>
      </c>
      <c r="D31" s="203"/>
      <c r="E31" s="226"/>
      <c r="F31" s="71"/>
    </row>
    <row r="32" spans="2:6">
      <c r="B32" s="92" t="s">
        <v>23</v>
      </c>
      <c r="C32" s="11" t="s">
        <v>24</v>
      </c>
      <c r="D32" s="202">
        <v>26738.39</v>
      </c>
      <c r="E32" s="225">
        <v>7043.45</v>
      </c>
      <c r="F32" s="71"/>
    </row>
    <row r="33" spans="2:6">
      <c r="B33" s="182" t="s">
        <v>4</v>
      </c>
      <c r="C33" s="175" t="s">
        <v>25</v>
      </c>
      <c r="D33" s="203">
        <v>25365.06</v>
      </c>
      <c r="E33" s="226">
        <v>5948.42</v>
      </c>
      <c r="F33" s="71"/>
    </row>
    <row r="34" spans="2:6">
      <c r="B34" s="182" t="s">
        <v>6</v>
      </c>
      <c r="C34" s="175" t="s">
        <v>26</v>
      </c>
      <c r="D34" s="203"/>
      <c r="E34" s="226"/>
      <c r="F34" s="71"/>
    </row>
    <row r="35" spans="2:6">
      <c r="B35" s="182" t="s">
        <v>8</v>
      </c>
      <c r="C35" s="175" t="s">
        <v>27</v>
      </c>
      <c r="D35" s="203">
        <v>405.03</v>
      </c>
      <c r="E35" s="226">
        <v>340.66</v>
      </c>
      <c r="F35" s="71"/>
    </row>
    <row r="36" spans="2:6">
      <c r="B36" s="182" t="s">
        <v>9</v>
      </c>
      <c r="C36" s="175" t="s">
        <v>28</v>
      </c>
      <c r="D36" s="203"/>
      <c r="E36" s="226"/>
      <c r="F36" s="71"/>
    </row>
    <row r="37" spans="2:6" ht="25.5">
      <c r="B37" s="182" t="s">
        <v>29</v>
      </c>
      <c r="C37" s="175" t="s">
        <v>30</v>
      </c>
      <c r="D37" s="203">
        <v>968.3</v>
      </c>
      <c r="E37" s="226">
        <v>754.37</v>
      </c>
      <c r="F37" s="71"/>
    </row>
    <row r="38" spans="2:6">
      <c r="B38" s="182" t="s">
        <v>31</v>
      </c>
      <c r="C38" s="175" t="s">
        <v>32</v>
      </c>
      <c r="D38" s="203"/>
      <c r="E38" s="226"/>
      <c r="F38" s="71"/>
    </row>
    <row r="39" spans="2:6">
      <c r="B39" s="183" t="s">
        <v>33</v>
      </c>
      <c r="C39" s="184" t="s">
        <v>34</v>
      </c>
      <c r="D39" s="204"/>
      <c r="E39" s="227"/>
      <c r="F39" s="71"/>
    </row>
    <row r="40" spans="2:6" ht="13.5" thickBot="1">
      <c r="B40" s="97" t="s">
        <v>35</v>
      </c>
      <c r="C40" s="98" t="s">
        <v>36</v>
      </c>
      <c r="D40" s="205">
        <v>-1964.35</v>
      </c>
      <c r="E40" s="232">
        <v>2836.47</v>
      </c>
    </row>
    <row r="41" spans="2:6" ht="13.5" thickBot="1">
      <c r="B41" s="99" t="s">
        <v>37</v>
      </c>
      <c r="C41" s="100" t="s">
        <v>38</v>
      </c>
      <c r="D41" s="206">
        <v>57250.65</v>
      </c>
      <c r="E41" s="148">
        <f>E26+E27+E40</f>
        <v>53043.670000000006</v>
      </c>
      <c r="F41" s="77"/>
    </row>
    <row r="42" spans="2:6">
      <c r="B42" s="93"/>
      <c r="C42" s="93"/>
      <c r="D42" s="94"/>
      <c r="E42" s="94"/>
      <c r="F42" s="77"/>
    </row>
    <row r="43" spans="2:6" ht="13.5">
      <c r="B43" s="362" t="s">
        <v>60</v>
      </c>
      <c r="C43" s="374"/>
      <c r="D43" s="374"/>
      <c r="E43" s="374"/>
    </row>
    <row r="44" spans="2:6" ht="18" customHeight="1" thickBot="1">
      <c r="B44" s="360" t="s">
        <v>121</v>
      </c>
      <c r="C44" s="373"/>
      <c r="D44" s="373"/>
      <c r="E44" s="373"/>
    </row>
    <row r="45" spans="2:6" ht="13.5" thickBot="1">
      <c r="B45" s="214"/>
      <c r="C45" s="29" t="s">
        <v>39</v>
      </c>
      <c r="D45" s="70" t="s">
        <v>125</v>
      </c>
      <c r="E45" s="319" t="s">
        <v>268</v>
      </c>
    </row>
    <row r="46" spans="2:6">
      <c r="B46" s="13" t="s">
        <v>18</v>
      </c>
      <c r="C46" s="30" t="s">
        <v>112</v>
      </c>
      <c r="D46" s="101"/>
      <c r="E46" s="28"/>
    </row>
    <row r="47" spans="2:6">
      <c r="B47" s="185" t="s">
        <v>4</v>
      </c>
      <c r="C47" s="186" t="s">
        <v>40</v>
      </c>
      <c r="D47" s="207">
        <v>711.24027999999998</v>
      </c>
      <c r="E47" s="149">
        <v>487.94549999999998</v>
      </c>
    </row>
    <row r="48" spans="2:6">
      <c r="B48" s="187" t="s">
        <v>6</v>
      </c>
      <c r="C48" s="188" t="s">
        <v>41</v>
      </c>
      <c r="D48" s="207">
        <v>487.94549999999998</v>
      </c>
      <c r="E48" s="149">
        <v>429.39909999999998</v>
      </c>
    </row>
    <row r="49" spans="2:5">
      <c r="B49" s="120" t="s">
        <v>23</v>
      </c>
      <c r="C49" s="124" t="s">
        <v>113</v>
      </c>
      <c r="D49" s="208"/>
      <c r="E49" s="149"/>
    </row>
    <row r="50" spans="2:5">
      <c r="B50" s="185" t="s">
        <v>4</v>
      </c>
      <c r="C50" s="186" t="s">
        <v>40</v>
      </c>
      <c r="D50" s="207">
        <v>120.85</v>
      </c>
      <c r="E50" s="149">
        <v>117.33</v>
      </c>
    </row>
    <row r="51" spans="2:5">
      <c r="B51" s="185" t="s">
        <v>6</v>
      </c>
      <c r="C51" s="186" t="s">
        <v>114</v>
      </c>
      <c r="D51" s="207">
        <v>116.99</v>
      </c>
      <c r="E51" s="149">
        <v>117.02</v>
      </c>
    </row>
    <row r="52" spans="2:5">
      <c r="B52" s="185" t="s">
        <v>8</v>
      </c>
      <c r="C52" s="186" t="s">
        <v>115</v>
      </c>
      <c r="D52" s="207">
        <v>122.31</v>
      </c>
      <c r="E52" s="75">
        <v>123.9</v>
      </c>
    </row>
    <row r="53" spans="2:5" ht="13.5" customHeight="1" thickBot="1">
      <c r="B53" s="189" t="s">
        <v>9</v>
      </c>
      <c r="C53" s="190" t="s">
        <v>41</v>
      </c>
      <c r="D53" s="209">
        <v>117.33</v>
      </c>
      <c r="E53" s="233">
        <v>123.53</v>
      </c>
    </row>
    <row r="54" spans="2:5">
      <c r="B54" s="109"/>
      <c r="C54" s="110"/>
      <c r="D54" s="111"/>
      <c r="E54" s="111"/>
    </row>
    <row r="55" spans="2:5" ht="13.5">
      <c r="B55" s="362" t="s">
        <v>62</v>
      </c>
      <c r="C55" s="363"/>
      <c r="D55" s="363"/>
      <c r="E55" s="363"/>
    </row>
    <row r="56" spans="2:5" ht="18.75" customHeight="1" thickBot="1">
      <c r="B56" s="360" t="s">
        <v>116</v>
      </c>
      <c r="C56" s="364"/>
      <c r="D56" s="364"/>
      <c r="E56" s="364"/>
    </row>
    <row r="57" spans="2:5" ht="23.25" thickBot="1">
      <c r="B57" s="355" t="s">
        <v>42</v>
      </c>
      <c r="C57" s="356"/>
      <c r="D57" s="18" t="s">
        <v>122</v>
      </c>
      <c r="E57" s="19" t="s">
        <v>117</v>
      </c>
    </row>
    <row r="58" spans="2:5">
      <c r="B58" s="20" t="s">
        <v>18</v>
      </c>
      <c r="C58" s="126" t="s">
        <v>43</v>
      </c>
      <c r="D58" s="127">
        <f>D64</f>
        <v>53043.67</v>
      </c>
      <c r="E58" s="31">
        <f>D58/E21</f>
        <v>1</v>
      </c>
    </row>
    <row r="59" spans="2:5" ht="25.5">
      <c r="B59" s="123" t="s">
        <v>4</v>
      </c>
      <c r="C59" s="22" t="s">
        <v>44</v>
      </c>
      <c r="D59" s="80">
        <v>0</v>
      </c>
      <c r="E59" s="81">
        <v>0</v>
      </c>
    </row>
    <row r="60" spans="2:5" ht="25.5">
      <c r="B60" s="102" t="s">
        <v>6</v>
      </c>
      <c r="C60" s="15" t="s">
        <v>45</v>
      </c>
      <c r="D60" s="78">
        <v>0</v>
      </c>
      <c r="E60" s="79">
        <v>0</v>
      </c>
    </row>
    <row r="61" spans="2:5">
      <c r="B61" s="102" t="s">
        <v>8</v>
      </c>
      <c r="C61" s="15" t="s">
        <v>46</v>
      </c>
      <c r="D61" s="78">
        <v>0</v>
      </c>
      <c r="E61" s="79">
        <v>0</v>
      </c>
    </row>
    <row r="62" spans="2:5">
      <c r="B62" s="102" t="s">
        <v>9</v>
      </c>
      <c r="C62" s="15" t="s">
        <v>47</v>
      </c>
      <c r="D62" s="78">
        <v>0</v>
      </c>
      <c r="E62" s="79">
        <v>0</v>
      </c>
    </row>
    <row r="63" spans="2:5">
      <c r="B63" s="102" t="s">
        <v>29</v>
      </c>
      <c r="C63" s="15" t="s">
        <v>48</v>
      </c>
      <c r="D63" s="78">
        <v>0</v>
      </c>
      <c r="E63" s="79">
        <v>0</v>
      </c>
    </row>
    <row r="64" spans="2:5">
      <c r="B64" s="123" t="s">
        <v>31</v>
      </c>
      <c r="C64" s="22" t="s">
        <v>49</v>
      </c>
      <c r="D64" s="80">
        <f>E21</f>
        <v>53043.67</v>
      </c>
      <c r="E64" s="81">
        <f>E58</f>
        <v>1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53043.67</v>
      </c>
      <c r="E74" s="66">
        <f>E58+E72-E73</f>
        <v>1</v>
      </c>
    </row>
    <row r="75" spans="2:5">
      <c r="B75" s="102" t="s">
        <v>4</v>
      </c>
      <c r="C75" s="15" t="s">
        <v>67</v>
      </c>
      <c r="D75" s="78">
        <f>D74</f>
        <v>53043.67</v>
      </c>
      <c r="E75" s="79">
        <f>E74</f>
        <v>1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9"/>
  <dimension ref="A1:L81"/>
  <sheetViews>
    <sheetView zoomScale="80" zoomScaleNormal="80" workbookViewId="0">
      <selection activeCell="H18" sqref="H18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4" customWidth="1"/>
    <col min="6" max="6" width="7.42578125" customWidth="1"/>
    <col min="7" max="7" width="17.28515625" customWidth="1"/>
    <col min="8" max="8" width="21.28515625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57" t="s">
        <v>0</v>
      </c>
      <c r="C2" s="357"/>
      <c r="D2" s="357"/>
      <c r="E2" s="357"/>
      <c r="L2" s="71"/>
    </row>
    <row r="3" spans="2:12" ht="15.75">
      <c r="B3" s="357" t="s">
        <v>267</v>
      </c>
      <c r="C3" s="357"/>
      <c r="D3" s="357"/>
      <c r="E3" s="357"/>
    </row>
    <row r="4" spans="2:12" ht="15">
      <c r="B4" s="147"/>
      <c r="C4" s="147"/>
      <c r="D4" s="147"/>
      <c r="E4" s="147"/>
    </row>
    <row r="5" spans="2:12" ht="14.25">
      <c r="B5" s="358" t="s">
        <v>1</v>
      </c>
      <c r="C5" s="358"/>
      <c r="D5" s="358"/>
      <c r="E5" s="358"/>
    </row>
    <row r="6" spans="2:12" ht="14.25">
      <c r="B6" s="359" t="s">
        <v>198</v>
      </c>
      <c r="C6" s="359"/>
      <c r="D6" s="359"/>
      <c r="E6" s="359"/>
    </row>
    <row r="7" spans="2:12" ht="14.25">
      <c r="B7" s="165"/>
      <c r="C7" s="165"/>
      <c r="D7" s="165"/>
      <c r="E7" s="165"/>
    </row>
    <row r="8" spans="2:12" ht="13.5">
      <c r="B8" s="361" t="s">
        <v>18</v>
      </c>
      <c r="C8" s="363"/>
      <c r="D8" s="363"/>
      <c r="E8" s="363"/>
    </row>
    <row r="9" spans="2:12" ht="16.5" thickBot="1">
      <c r="B9" s="360" t="s">
        <v>103</v>
      </c>
      <c r="C9" s="360"/>
      <c r="D9" s="360"/>
      <c r="E9" s="360"/>
    </row>
    <row r="10" spans="2:12" ht="13.5" thickBot="1">
      <c r="B10" s="166"/>
      <c r="C10" s="76" t="s">
        <v>2</v>
      </c>
      <c r="D10" s="70" t="s">
        <v>125</v>
      </c>
      <c r="E10" s="319" t="s">
        <v>268</v>
      </c>
    </row>
    <row r="11" spans="2:12">
      <c r="B11" s="90" t="s">
        <v>3</v>
      </c>
      <c r="C11" s="128" t="s">
        <v>109</v>
      </c>
      <c r="D11" s="243"/>
      <c r="E11" s="244">
        <f>E12</f>
        <v>0</v>
      </c>
    </row>
    <row r="12" spans="2:12">
      <c r="B12" s="174" t="s">
        <v>4</v>
      </c>
      <c r="C12" s="175" t="s">
        <v>5</v>
      </c>
      <c r="D12" s="283"/>
      <c r="E12" s="304">
        <f>22.94-22.94</f>
        <v>0</v>
      </c>
    </row>
    <row r="13" spans="2:12">
      <c r="B13" s="174" t="s">
        <v>6</v>
      </c>
      <c r="C13" s="176" t="s">
        <v>7</v>
      </c>
      <c r="D13" s="276"/>
      <c r="E13" s="305"/>
    </row>
    <row r="14" spans="2:12">
      <c r="B14" s="174" t="s">
        <v>8</v>
      </c>
      <c r="C14" s="176" t="s">
        <v>10</v>
      </c>
      <c r="D14" s="276"/>
      <c r="E14" s="305"/>
      <c r="G14" s="67"/>
    </row>
    <row r="15" spans="2:12">
      <c r="B15" s="174" t="s">
        <v>106</v>
      </c>
      <c r="C15" s="176" t="s">
        <v>11</v>
      </c>
      <c r="D15" s="276"/>
      <c r="E15" s="305"/>
    </row>
    <row r="16" spans="2:12">
      <c r="B16" s="177" t="s">
        <v>107</v>
      </c>
      <c r="C16" s="178" t="s">
        <v>12</v>
      </c>
      <c r="D16" s="278"/>
      <c r="E16" s="306"/>
    </row>
    <row r="17" spans="2:11">
      <c r="B17" s="9" t="s">
        <v>13</v>
      </c>
      <c r="C17" s="11" t="s">
        <v>65</v>
      </c>
      <c r="D17" s="279"/>
      <c r="E17" s="307"/>
    </row>
    <row r="18" spans="2:11">
      <c r="B18" s="174" t="s">
        <v>4</v>
      </c>
      <c r="C18" s="175" t="s">
        <v>11</v>
      </c>
      <c r="D18" s="278"/>
      <c r="E18" s="306"/>
    </row>
    <row r="19" spans="2:11" ht="15" customHeight="1">
      <c r="B19" s="174" t="s">
        <v>6</v>
      </c>
      <c r="C19" s="176" t="s">
        <v>108</v>
      </c>
      <c r="D19" s="276"/>
      <c r="E19" s="305"/>
    </row>
    <row r="20" spans="2:11" ht="13.5" thickBot="1">
      <c r="B20" s="179" t="s">
        <v>8</v>
      </c>
      <c r="C20" s="180" t="s">
        <v>14</v>
      </c>
      <c r="D20" s="245"/>
      <c r="E20" s="246"/>
    </row>
    <row r="21" spans="2:11" ht="13.5" thickBot="1">
      <c r="B21" s="367" t="s">
        <v>110</v>
      </c>
      <c r="C21" s="368"/>
      <c r="D21" s="247"/>
      <c r="E21" s="148">
        <f>E12</f>
        <v>0</v>
      </c>
      <c r="F21" s="77"/>
      <c r="G21" s="77"/>
      <c r="H21" s="164"/>
      <c r="J21" s="219"/>
      <c r="K21" s="67"/>
    </row>
    <row r="22" spans="2:11">
      <c r="B22" s="3"/>
      <c r="C22" s="7"/>
      <c r="D22" s="8"/>
      <c r="E22" s="8"/>
      <c r="G22" s="71"/>
    </row>
    <row r="23" spans="2:11" ht="13.5">
      <c r="B23" s="361" t="s">
        <v>104</v>
      </c>
      <c r="C23" s="371"/>
      <c r="D23" s="371"/>
      <c r="E23" s="371"/>
      <c r="G23" s="71"/>
    </row>
    <row r="24" spans="2:11" ht="15.75" customHeight="1" thickBot="1">
      <c r="B24" s="360" t="s">
        <v>105</v>
      </c>
      <c r="C24" s="372"/>
      <c r="D24" s="372"/>
      <c r="E24" s="372"/>
    </row>
    <row r="25" spans="2:11" ht="13.5" thickBot="1">
      <c r="B25" s="214"/>
      <c r="C25" s="181" t="s">
        <v>2</v>
      </c>
      <c r="D25" s="70" t="s">
        <v>125</v>
      </c>
      <c r="E25" s="319" t="s">
        <v>268</v>
      </c>
    </row>
    <row r="26" spans="2:11">
      <c r="B26" s="95" t="s">
        <v>15</v>
      </c>
      <c r="C26" s="96" t="s">
        <v>16</v>
      </c>
      <c r="D26" s="201">
        <v>0</v>
      </c>
      <c r="E26" s="231">
        <f>D21</f>
        <v>0</v>
      </c>
      <c r="G26" s="74"/>
    </row>
    <row r="27" spans="2:11">
      <c r="B27" s="9" t="s">
        <v>17</v>
      </c>
      <c r="C27" s="10" t="s">
        <v>111</v>
      </c>
      <c r="D27" s="202">
        <v>1.73</v>
      </c>
      <c r="E27" s="224">
        <f>E28-E32</f>
        <v>-2.81</v>
      </c>
      <c r="F27" s="71"/>
      <c r="G27" s="74"/>
      <c r="H27" s="71"/>
      <c r="I27" s="71"/>
      <c r="J27" s="74"/>
    </row>
    <row r="28" spans="2:11">
      <c r="B28" s="9" t="s">
        <v>18</v>
      </c>
      <c r="C28" s="10" t="s">
        <v>19</v>
      </c>
      <c r="D28" s="202">
        <v>1.73</v>
      </c>
      <c r="E28" s="225">
        <f>G28</f>
        <v>0</v>
      </c>
      <c r="F28" s="71"/>
      <c r="G28" s="71"/>
      <c r="H28" s="71"/>
      <c r="I28" s="71"/>
      <c r="J28" s="74"/>
    </row>
    <row r="29" spans="2:11">
      <c r="B29" s="182" t="s">
        <v>4</v>
      </c>
      <c r="C29" s="175" t="s">
        <v>20</v>
      </c>
      <c r="D29" s="203">
        <v>0</v>
      </c>
      <c r="E29" s="226"/>
      <c r="F29" s="71"/>
      <c r="G29" s="71"/>
      <c r="H29" s="71"/>
      <c r="I29" s="71"/>
      <c r="J29" s="74"/>
    </row>
    <row r="30" spans="2:11">
      <c r="B30" s="182" t="s">
        <v>6</v>
      </c>
      <c r="C30" s="175" t="s">
        <v>21</v>
      </c>
      <c r="D30" s="203">
        <v>0</v>
      </c>
      <c r="E30" s="226"/>
      <c r="F30" s="71"/>
      <c r="G30" s="71"/>
      <c r="H30" s="71"/>
      <c r="I30" s="71"/>
      <c r="J30" s="74"/>
    </row>
    <row r="31" spans="2:11">
      <c r="B31" s="182" t="s">
        <v>8</v>
      </c>
      <c r="C31" s="175" t="s">
        <v>22</v>
      </c>
      <c r="D31" s="203">
        <v>1.73</v>
      </c>
      <c r="E31" s="226"/>
      <c r="F31" s="71"/>
      <c r="G31" s="71"/>
      <c r="H31" s="71"/>
      <c r="I31" s="71"/>
      <c r="J31" s="74"/>
    </row>
    <row r="32" spans="2:11">
      <c r="B32" s="92" t="s">
        <v>23</v>
      </c>
      <c r="C32" s="11" t="s">
        <v>24</v>
      </c>
      <c r="D32" s="202">
        <v>0</v>
      </c>
      <c r="E32" s="225">
        <v>2.81</v>
      </c>
      <c r="F32" s="71"/>
      <c r="G32" s="74"/>
      <c r="H32" s="71"/>
      <c r="I32" s="71"/>
      <c r="J32" s="74"/>
    </row>
    <row r="33" spans="2:10">
      <c r="B33" s="182" t="s">
        <v>4</v>
      </c>
      <c r="C33" s="175" t="s">
        <v>25</v>
      </c>
      <c r="D33" s="203">
        <v>0</v>
      </c>
      <c r="E33" s="226">
        <v>2.81</v>
      </c>
      <c r="F33" s="71"/>
      <c r="G33" s="71"/>
      <c r="H33" s="71"/>
      <c r="I33" s="71"/>
      <c r="J33" s="74"/>
    </row>
    <row r="34" spans="2:10">
      <c r="B34" s="182" t="s">
        <v>6</v>
      </c>
      <c r="C34" s="175" t="s">
        <v>26</v>
      </c>
      <c r="D34" s="203">
        <v>0</v>
      </c>
      <c r="E34" s="226"/>
      <c r="F34" s="71"/>
      <c r="G34" s="71"/>
      <c r="H34" s="71"/>
      <c r="I34" s="71"/>
      <c r="J34" s="74"/>
    </row>
    <row r="35" spans="2:10">
      <c r="B35" s="182" t="s">
        <v>8</v>
      </c>
      <c r="C35" s="175" t="s">
        <v>27</v>
      </c>
      <c r="D35" s="203">
        <v>0</v>
      </c>
      <c r="E35" s="226"/>
      <c r="F35" s="71"/>
      <c r="G35" s="71"/>
      <c r="H35" s="71"/>
      <c r="I35" s="71"/>
      <c r="J35" s="74"/>
    </row>
    <row r="36" spans="2:10">
      <c r="B36" s="182" t="s">
        <v>9</v>
      </c>
      <c r="C36" s="175" t="s">
        <v>28</v>
      </c>
      <c r="D36" s="203">
        <v>0</v>
      </c>
      <c r="E36" s="226"/>
      <c r="F36" s="71"/>
      <c r="G36" s="71"/>
      <c r="H36" s="71"/>
      <c r="I36" s="71"/>
      <c r="J36" s="74"/>
    </row>
    <row r="37" spans="2:10" ht="25.5">
      <c r="B37" s="182" t="s">
        <v>29</v>
      </c>
      <c r="C37" s="175" t="s">
        <v>30</v>
      </c>
      <c r="D37" s="203">
        <v>0</v>
      </c>
      <c r="E37" s="226"/>
      <c r="F37" s="71"/>
      <c r="G37" s="71"/>
      <c r="H37" s="71"/>
      <c r="I37" s="71"/>
      <c r="J37" s="74"/>
    </row>
    <row r="38" spans="2:10">
      <c r="B38" s="182" t="s">
        <v>31</v>
      </c>
      <c r="C38" s="175" t="s">
        <v>32</v>
      </c>
      <c r="D38" s="203">
        <v>0</v>
      </c>
      <c r="E38" s="226"/>
      <c r="F38" s="71"/>
      <c r="G38" s="71"/>
      <c r="H38" s="71"/>
      <c r="I38" s="71"/>
      <c r="J38" s="74"/>
    </row>
    <row r="39" spans="2:10">
      <c r="B39" s="183" t="s">
        <v>33</v>
      </c>
      <c r="C39" s="184" t="s">
        <v>34</v>
      </c>
      <c r="D39" s="204">
        <v>0</v>
      </c>
      <c r="E39" s="227"/>
      <c r="F39" s="71"/>
      <c r="G39" s="71"/>
      <c r="H39" s="71"/>
      <c r="I39" s="71"/>
      <c r="J39" s="74"/>
    </row>
    <row r="40" spans="2:10" ht="13.5" thickBot="1">
      <c r="B40" s="97" t="s">
        <v>35</v>
      </c>
      <c r="C40" s="98" t="s">
        <v>36</v>
      </c>
      <c r="D40" s="205">
        <v>-1.73</v>
      </c>
      <c r="E40" s="232">
        <v>2.81</v>
      </c>
      <c r="G40" s="74"/>
    </row>
    <row r="41" spans="2:10" ht="13.5" thickBot="1">
      <c r="B41" s="99" t="s">
        <v>37</v>
      </c>
      <c r="C41" s="100" t="s">
        <v>38</v>
      </c>
      <c r="D41" s="206">
        <v>0</v>
      </c>
      <c r="E41" s="148">
        <f>E26+E27+E40</f>
        <v>0</v>
      </c>
      <c r="F41" s="77"/>
      <c r="G41" s="74"/>
    </row>
    <row r="42" spans="2:10">
      <c r="B42" s="93"/>
      <c r="C42" s="93"/>
      <c r="D42" s="94"/>
      <c r="E42" s="94"/>
      <c r="F42" s="77"/>
      <c r="G42" s="67"/>
    </row>
    <row r="43" spans="2:10" ht="13.5">
      <c r="B43" s="362" t="s">
        <v>60</v>
      </c>
      <c r="C43" s="374"/>
      <c r="D43" s="374"/>
      <c r="E43" s="374"/>
      <c r="G43" s="71"/>
    </row>
    <row r="44" spans="2:10" ht="18" customHeight="1" thickBot="1">
      <c r="B44" s="360" t="s">
        <v>121</v>
      </c>
      <c r="C44" s="373"/>
      <c r="D44" s="373"/>
      <c r="E44" s="373"/>
      <c r="G44" s="71"/>
    </row>
    <row r="45" spans="2:10" ht="13.5" thickBot="1">
      <c r="B45" s="214"/>
      <c r="C45" s="29" t="s">
        <v>39</v>
      </c>
      <c r="D45" s="70" t="s">
        <v>125</v>
      </c>
      <c r="E45" s="319" t="s">
        <v>268</v>
      </c>
      <c r="G45" s="71"/>
    </row>
    <row r="46" spans="2:10">
      <c r="B46" s="13" t="s">
        <v>18</v>
      </c>
      <c r="C46" s="30" t="s">
        <v>112</v>
      </c>
      <c r="D46" s="101"/>
      <c r="E46" s="28"/>
      <c r="G46" s="71"/>
    </row>
    <row r="47" spans="2:10">
      <c r="B47" s="185" t="s">
        <v>4</v>
      </c>
      <c r="C47" s="186" t="s">
        <v>40</v>
      </c>
      <c r="D47" s="207">
        <v>0</v>
      </c>
      <c r="E47" s="149">
        <v>0</v>
      </c>
      <c r="G47" s="71"/>
    </row>
    <row r="48" spans="2:10">
      <c r="B48" s="187" t="s">
        <v>6</v>
      </c>
      <c r="C48" s="188" t="s">
        <v>41</v>
      </c>
      <c r="D48" s="207">
        <v>0</v>
      </c>
      <c r="E48" s="149">
        <v>0</v>
      </c>
      <c r="G48" s="71"/>
    </row>
    <row r="49" spans="2:7">
      <c r="B49" s="120" t="s">
        <v>23</v>
      </c>
      <c r="C49" s="124" t="s">
        <v>113</v>
      </c>
      <c r="D49" s="208"/>
      <c r="E49" s="149"/>
    </row>
    <row r="50" spans="2:7">
      <c r="B50" s="185" t="s">
        <v>4</v>
      </c>
      <c r="C50" s="186" t="s">
        <v>40</v>
      </c>
      <c r="D50" s="207">
        <v>0</v>
      </c>
      <c r="E50" s="149">
        <v>0</v>
      </c>
      <c r="G50" s="173"/>
    </row>
    <row r="51" spans="2:7">
      <c r="B51" s="185" t="s">
        <v>6</v>
      </c>
      <c r="C51" s="186" t="s">
        <v>114</v>
      </c>
      <c r="D51" s="207">
        <v>106.65</v>
      </c>
      <c r="E51" s="149">
        <v>107.08</v>
      </c>
      <c r="G51" s="173"/>
    </row>
    <row r="52" spans="2:7">
      <c r="B52" s="185" t="s">
        <v>8</v>
      </c>
      <c r="C52" s="186" t="s">
        <v>115</v>
      </c>
      <c r="D52" s="207">
        <v>123.92</v>
      </c>
      <c r="E52" s="75">
        <v>124.06</v>
      </c>
    </row>
    <row r="53" spans="2:7" ht="13.5" thickBot="1">
      <c r="B53" s="189" t="s">
        <v>9</v>
      </c>
      <c r="C53" s="190" t="s">
        <v>41</v>
      </c>
      <c r="D53" s="209">
        <v>0</v>
      </c>
      <c r="E53" s="233">
        <v>0</v>
      </c>
    </row>
    <row r="54" spans="2:7">
      <c r="B54" s="109"/>
      <c r="C54" s="110"/>
      <c r="D54" s="111"/>
      <c r="E54" s="111"/>
    </row>
    <row r="55" spans="2:7" ht="13.5">
      <c r="B55" s="362" t="s">
        <v>62</v>
      </c>
      <c r="C55" s="363"/>
      <c r="D55" s="363"/>
      <c r="E55" s="363"/>
    </row>
    <row r="56" spans="2:7" ht="14.25" thickBot="1">
      <c r="B56" s="360" t="s">
        <v>116</v>
      </c>
      <c r="C56" s="364"/>
      <c r="D56" s="364"/>
      <c r="E56" s="364"/>
    </row>
    <row r="57" spans="2:7" ht="23.25" thickBot="1">
      <c r="B57" s="355" t="s">
        <v>42</v>
      </c>
      <c r="C57" s="356"/>
      <c r="D57" s="18" t="s">
        <v>122</v>
      </c>
      <c r="E57" s="19" t="s">
        <v>117</v>
      </c>
    </row>
    <row r="58" spans="2:7">
      <c r="B58" s="20" t="s">
        <v>18</v>
      </c>
      <c r="C58" s="126" t="s">
        <v>43</v>
      </c>
      <c r="D58" s="127">
        <f>D64</f>
        <v>0</v>
      </c>
      <c r="E58" s="31">
        <v>0</v>
      </c>
    </row>
    <row r="59" spans="2:7" ht="25.5">
      <c r="B59" s="123" t="s">
        <v>4</v>
      </c>
      <c r="C59" s="22" t="s">
        <v>44</v>
      </c>
      <c r="D59" s="80">
        <v>0</v>
      </c>
      <c r="E59" s="81">
        <v>0</v>
      </c>
    </row>
    <row r="60" spans="2:7" ht="25.5">
      <c r="B60" s="102" t="s">
        <v>6</v>
      </c>
      <c r="C60" s="15" t="s">
        <v>45</v>
      </c>
      <c r="D60" s="78">
        <v>0</v>
      </c>
      <c r="E60" s="79">
        <v>0</v>
      </c>
    </row>
    <row r="61" spans="2:7">
      <c r="B61" s="102" t="s">
        <v>8</v>
      </c>
      <c r="C61" s="15" t="s">
        <v>46</v>
      </c>
      <c r="D61" s="78">
        <v>0</v>
      </c>
      <c r="E61" s="79">
        <v>0</v>
      </c>
    </row>
    <row r="62" spans="2:7">
      <c r="B62" s="102" t="s">
        <v>9</v>
      </c>
      <c r="C62" s="15" t="s">
        <v>47</v>
      </c>
      <c r="D62" s="78">
        <v>0</v>
      </c>
      <c r="E62" s="79">
        <v>0</v>
      </c>
    </row>
    <row r="63" spans="2:7">
      <c r="B63" s="102" t="s">
        <v>29</v>
      </c>
      <c r="C63" s="15" t="s">
        <v>48</v>
      </c>
      <c r="D63" s="78">
        <v>0</v>
      </c>
      <c r="E63" s="79">
        <v>0</v>
      </c>
    </row>
    <row r="64" spans="2:7">
      <c r="B64" s="123" t="s">
        <v>31</v>
      </c>
      <c r="C64" s="22" t="s">
        <v>49</v>
      </c>
      <c r="D64" s="80">
        <f>E21</f>
        <v>0</v>
      </c>
      <c r="E64" s="81">
        <f>E58</f>
        <v>0</v>
      </c>
    </row>
    <row r="65" spans="2:5">
      <c r="B65" s="123" t="s">
        <v>33</v>
      </c>
      <c r="C65" s="22" t="s">
        <v>118</v>
      </c>
      <c r="D65" s="80">
        <v>0</v>
      </c>
      <c r="E65" s="81">
        <v>0</v>
      </c>
    </row>
    <row r="66" spans="2:5">
      <c r="B66" s="123" t="s">
        <v>50</v>
      </c>
      <c r="C66" s="22" t="s">
        <v>51</v>
      </c>
      <c r="D66" s="80">
        <v>0</v>
      </c>
      <c r="E66" s="81">
        <v>0</v>
      </c>
    </row>
    <row r="67" spans="2:5">
      <c r="B67" s="102" t="s">
        <v>52</v>
      </c>
      <c r="C67" s="15" t="s">
        <v>53</v>
      </c>
      <c r="D67" s="78">
        <v>0</v>
      </c>
      <c r="E67" s="79">
        <v>0</v>
      </c>
    </row>
    <row r="68" spans="2:5">
      <c r="B68" s="102" t="s">
        <v>54</v>
      </c>
      <c r="C68" s="15" t="s">
        <v>55</v>
      </c>
      <c r="D68" s="78">
        <v>0</v>
      </c>
      <c r="E68" s="79">
        <v>0</v>
      </c>
    </row>
    <row r="69" spans="2:5">
      <c r="B69" s="102" t="s">
        <v>56</v>
      </c>
      <c r="C69" s="15" t="s">
        <v>57</v>
      </c>
      <c r="D69" s="274">
        <v>0</v>
      </c>
      <c r="E69" s="79">
        <v>0</v>
      </c>
    </row>
    <row r="70" spans="2:5">
      <c r="B70" s="129" t="s">
        <v>58</v>
      </c>
      <c r="C70" s="113" t="s">
        <v>59</v>
      </c>
      <c r="D70" s="114">
        <v>0</v>
      </c>
      <c r="E70" s="115">
        <v>0</v>
      </c>
    </row>
    <row r="71" spans="2:5">
      <c r="B71" s="130" t="s">
        <v>23</v>
      </c>
      <c r="C71" s="121" t="s">
        <v>61</v>
      </c>
      <c r="D71" s="122">
        <v>0</v>
      </c>
      <c r="E71" s="66">
        <v>0</v>
      </c>
    </row>
    <row r="72" spans="2:5">
      <c r="B72" s="131" t="s">
        <v>60</v>
      </c>
      <c r="C72" s="117" t="s">
        <v>63</v>
      </c>
      <c r="D72" s="118">
        <f>E14</f>
        <v>0</v>
      </c>
      <c r="E72" s="119">
        <v>0</v>
      </c>
    </row>
    <row r="73" spans="2:5">
      <c r="B73" s="132" t="s">
        <v>62</v>
      </c>
      <c r="C73" s="24" t="s">
        <v>65</v>
      </c>
      <c r="D73" s="25">
        <v>0</v>
      </c>
      <c r="E73" s="26">
        <v>0</v>
      </c>
    </row>
    <row r="74" spans="2:5">
      <c r="B74" s="130" t="s">
        <v>64</v>
      </c>
      <c r="C74" s="121" t="s">
        <v>66</v>
      </c>
      <c r="D74" s="122">
        <f>D58</f>
        <v>0</v>
      </c>
      <c r="E74" s="66">
        <f>E58+E72-E73</f>
        <v>0</v>
      </c>
    </row>
    <row r="75" spans="2:5">
      <c r="B75" s="102" t="s">
        <v>4</v>
      </c>
      <c r="C75" s="15" t="s">
        <v>67</v>
      </c>
      <c r="D75" s="78">
        <f>D74</f>
        <v>0</v>
      </c>
      <c r="E75" s="79">
        <f>E74</f>
        <v>0</v>
      </c>
    </row>
    <row r="76" spans="2:5">
      <c r="B76" s="102" t="s">
        <v>6</v>
      </c>
      <c r="C76" s="15" t="s">
        <v>119</v>
      </c>
      <c r="D76" s="78">
        <v>0</v>
      </c>
      <c r="E76" s="79">
        <v>0</v>
      </c>
    </row>
    <row r="77" spans="2:5" ht="13.5" thickBot="1">
      <c r="B77" s="103" t="s">
        <v>8</v>
      </c>
      <c r="C77" s="17" t="s">
        <v>120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172</vt:i4>
      </vt:variant>
      <vt:variant>
        <vt:lpstr>Zakresy nazwane</vt:lpstr>
      </vt:variant>
      <vt:variant>
        <vt:i4>63</vt:i4>
      </vt:variant>
    </vt:vector>
  </HeadingPairs>
  <TitlesOfParts>
    <vt:vector size="235" baseType="lpstr">
      <vt:lpstr>Fundusz Gwarantowany</vt:lpstr>
      <vt:lpstr>Fundusz Stabilnego Wzrostu</vt:lpstr>
      <vt:lpstr>Fundusz Dynamiczny</vt:lpstr>
      <vt:lpstr>Fundusz Obligacji</vt:lpstr>
      <vt:lpstr>Fundusz Aktywnej Alokacji</vt:lpstr>
      <vt:lpstr>Fundusz Akcji Plus</vt:lpstr>
      <vt:lpstr>Fundusz Akcji Małych i ŚS</vt:lpstr>
      <vt:lpstr>Fundusz Pieniężny</vt:lpstr>
      <vt:lpstr>Fundusz Polskich Obl. Skarb.</vt:lpstr>
      <vt:lpstr>Fundusz Selektywny</vt:lpstr>
      <vt:lpstr>Fundusz Akcji Glob.</vt:lpstr>
      <vt:lpstr>Fundusz Obligacji Glob.</vt:lpstr>
      <vt:lpstr>Fundusz Energetyczny</vt:lpstr>
      <vt:lpstr>Portfel Aktywnej Alokacji</vt:lpstr>
      <vt:lpstr>Portfel Dynamiczny</vt:lpstr>
      <vt:lpstr>Portfel Stabilnego Wzrostu</vt:lpstr>
      <vt:lpstr>Portfel ARR</vt:lpstr>
      <vt:lpstr>Portfel ARW</vt:lpstr>
      <vt:lpstr>Portfel OZ</vt:lpstr>
      <vt:lpstr>Portfel OR</vt:lpstr>
      <vt:lpstr>Portfel SA</vt:lpstr>
      <vt:lpstr>Fundusz Konserwatywny</vt:lpstr>
      <vt:lpstr>Fundusz Zrównoważony</vt:lpstr>
      <vt:lpstr>Fundusz Aktywny</vt:lpstr>
      <vt:lpstr>Fundusz Międzynarodowy</vt:lpstr>
      <vt:lpstr>Fundusz Azjatycki</vt:lpstr>
      <vt:lpstr>Aktywny - Surowce i Nowe Gosp.</vt:lpstr>
      <vt:lpstr>Zabezpieczony - Dalekiego Wsch.</vt:lpstr>
      <vt:lpstr>Zaabezpieczony - Europy Wsch.</vt:lpstr>
      <vt:lpstr>Strategii Multiobligacyjnych</vt:lpstr>
      <vt:lpstr>Zabezpieczony - Rynku Polskiego</vt:lpstr>
      <vt:lpstr>Allianz Akcji</vt:lpstr>
      <vt:lpstr>Allianz Stabilnego Wzrostu</vt:lpstr>
      <vt:lpstr>Allianz Obligacji Plus</vt:lpstr>
      <vt:lpstr>Allianz Aktywnej Alokacji</vt:lpstr>
      <vt:lpstr>Allianz Akcji Małych i ŚS</vt:lpstr>
      <vt:lpstr>Allianz Konserw.</vt:lpstr>
      <vt:lpstr>Allianz Polskich Obl.Skarb.</vt:lpstr>
      <vt:lpstr>Allianz Selektywny</vt:lpstr>
      <vt:lpstr>Allianz Akcji Glob.</vt:lpstr>
      <vt:lpstr>Allianz Surowców i Energii</vt:lpstr>
      <vt:lpstr>Allianz Akcji Rynkow Wsch</vt:lpstr>
      <vt:lpstr>Allianz Dyn.Multistrategia</vt:lpstr>
      <vt:lpstr>Allianz Def.Multistrategia</vt:lpstr>
      <vt:lpstr>Allianz Zbal.Multistrategia</vt:lpstr>
      <vt:lpstr>Allianz GSD</vt:lpstr>
      <vt:lpstr>Allianz Obligacji Glob.</vt:lpstr>
      <vt:lpstr>Altus ASZD</vt:lpstr>
      <vt:lpstr>Altus ASZRP</vt:lpstr>
      <vt:lpstr>Aviva Dł.Pap.Korp.</vt:lpstr>
      <vt:lpstr>Franklin EDF</vt:lpstr>
      <vt:lpstr>Franklin GFS</vt:lpstr>
      <vt:lpstr>Franklin NR</vt:lpstr>
      <vt:lpstr>Franklin USO</vt:lpstr>
      <vt:lpstr>GS EMD</vt:lpstr>
      <vt:lpstr>GS GSMBP</vt:lpstr>
      <vt:lpstr>Inwestor Akcji</vt:lpstr>
      <vt:lpstr>Investor Akcji Sp.Dyw.</vt:lpstr>
      <vt:lpstr>Investor TOP 25 MS</vt:lpstr>
      <vt:lpstr>Investor Zrównoważony</vt:lpstr>
      <vt:lpstr>Investor Ameryka Łacińska</vt:lpstr>
      <vt:lpstr>Investor BRIC</vt:lpstr>
      <vt:lpstr>Investor Gold</vt:lpstr>
      <vt:lpstr>Investor Doch.</vt:lpstr>
      <vt:lpstr>Investor Indie i Chiny</vt:lpstr>
      <vt:lpstr>Investor Turcja</vt:lpstr>
      <vt:lpstr>Investor OK</vt:lpstr>
      <vt:lpstr>Investor Oszcz.</vt:lpstr>
      <vt:lpstr>Investor ZE</vt:lpstr>
      <vt:lpstr>Investor ASW</vt:lpstr>
      <vt:lpstr>Ipopema A</vt:lpstr>
      <vt:lpstr>JPM EMO</vt:lpstr>
      <vt:lpstr>JPM GH</vt:lpstr>
      <vt:lpstr>JPM GSB</vt:lpstr>
      <vt:lpstr>JPM GMO</vt:lpstr>
      <vt:lpstr>Esaliens Akcji</vt:lpstr>
      <vt:lpstr>Esaliens Obligacji</vt:lpstr>
      <vt:lpstr>Esaliens Oszcz.</vt:lpstr>
      <vt:lpstr>Esaliens Strateg</vt:lpstr>
      <vt:lpstr>Millenium Master I</vt:lpstr>
      <vt:lpstr>Millenium Master II</vt:lpstr>
      <vt:lpstr>Millenium Master III</vt:lpstr>
      <vt:lpstr>Millenium Master IV</vt:lpstr>
      <vt:lpstr>Millenium Master V</vt:lpstr>
      <vt:lpstr>Millenium Master VI</vt:lpstr>
      <vt:lpstr>Millenium Master VII</vt:lpstr>
      <vt:lpstr>NN Akcji</vt:lpstr>
      <vt:lpstr>NN Obligacji</vt:lpstr>
      <vt:lpstr>NN POI</vt:lpstr>
      <vt:lpstr>NN ŚMS</vt:lpstr>
      <vt:lpstr>NN Eur.SD</vt:lpstr>
      <vt:lpstr>NN Glob. Długu Korp.</vt:lpstr>
      <vt:lpstr>NN Glob.SD</vt:lpstr>
      <vt:lpstr>NN J</vt:lpstr>
      <vt:lpstr>NN NA</vt:lpstr>
      <vt:lpstr>NN ORW</vt:lpstr>
      <vt:lpstr>NN Sp.Dyw.USA</vt:lpstr>
      <vt:lpstr>NN SGA</vt:lpstr>
      <vt:lpstr>NN SDRW</vt:lpstr>
      <vt:lpstr>NN D</vt:lpstr>
      <vt:lpstr>Noble AMiŚS</vt:lpstr>
      <vt:lpstr>Noble A</vt:lpstr>
      <vt:lpstr>Noble GR</vt:lpstr>
      <vt:lpstr>Pekao ARW</vt:lpstr>
      <vt:lpstr>Pekao AGD</vt:lpstr>
      <vt:lpstr>Pekao OS</vt:lpstr>
      <vt:lpstr>Pekao Spokojna Inw</vt:lpstr>
      <vt:lpstr>Pekao WDRE</vt:lpstr>
      <vt:lpstr>Pekao Surowców i Energii</vt:lpstr>
      <vt:lpstr>Pekao AP</vt:lpstr>
      <vt:lpstr>Pekao DS</vt:lpstr>
      <vt:lpstr>Pekao OP</vt:lpstr>
      <vt:lpstr>Pekao Kons.</vt:lpstr>
      <vt:lpstr>Pekao Kons.+</vt:lpstr>
      <vt:lpstr>Pekao Stab.Inwest.</vt:lpstr>
      <vt:lpstr>Pekao DA2</vt:lpstr>
      <vt:lpstr>Pekao AS</vt:lpstr>
      <vt:lpstr>Pekao AA</vt:lpstr>
      <vt:lpstr>Pekao AE</vt:lpstr>
      <vt:lpstr>Pekao SG</vt:lpstr>
      <vt:lpstr>Pekao AMIŚSRR</vt:lpstr>
      <vt:lpstr>Pekao OID</vt:lpstr>
      <vt:lpstr>PKO Akcji Nowa Europa</vt:lpstr>
      <vt:lpstr>PKO Obligacji Dług.</vt:lpstr>
      <vt:lpstr>PKO Stabilnego Wzrostu</vt:lpstr>
      <vt:lpstr>PKO Zrównoważony</vt:lpstr>
      <vt:lpstr>PZU ASD</vt:lpstr>
      <vt:lpstr>PZU AK</vt:lpstr>
      <vt:lpstr>PZU AMiŚS</vt:lpstr>
      <vt:lpstr>PZU M</vt:lpstr>
      <vt:lpstr>PZU Zrówn.</vt:lpstr>
      <vt:lpstr>PZU ARR</vt:lpstr>
      <vt:lpstr>PZU PDP</vt:lpstr>
      <vt:lpstr>Quercus A</vt:lpstr>
      <vt:lpstr>Quercus LEV</vt:lpstr>
      <vt:lpstr>Quercus OK</vt:lpstr>
      <vt:lpstr>Quercus R</vt:lpstr>
      <vt:lpstr>Quercus GB</vt:lpstr>
      <vt:lpstr>Quercus Short</vt:lpstr>
      <vt:lpstr>Quercus Stab.</vt:lpstr>
      <vt:lpstr>Schroder ISF ACB</vt:lpstr>
      <vt:lpstr>Schroder ISF AO</vt:lpstr>
      <vt:lpstr>Schroder ISF EMDAR</vt:lpstr>
      <vt:lpstr>Schroder ISF EE</vt:lpstr>
      <vt:lpstr>Schroder ISF FME</vt:lpstr>
      <vt:lpstr>Schroder ISF GDG</vt:lpstr>
      <vt:lpstr>Schroder ISF GHIB</vt:lpstr>
      <vt:lpstr>Skarbiec Kons.</vt:lpstr>
      <vt:lpstr>Skarbiec OWD</vt:lpstr>
      <vt:lpstr>Skarbiec MIŚS</vt:lpstr>
      <vt:lpstr>Skarbiec GMIŚS</vt:lpstr>
      <vt:lpstr>Skarbiec SW</vt:lpstr>
      <vt:lpstr>Skarbiec A</vt:lpstr>
      <vt:lpstr>Skarbiec Brands</vt:lpstr>
      <vt:lpstr>Templeton AG</vt:lpstr>
      <vt:lpstr>Templeton GB</vt:lpstr>
      <vt:lpstr>Templeton GTR</vt:lpstr>
      <vt:lpstr>Templeton LA</vt:lpstr>
      <vt:lpstr>Generali GAW</vt:lpstr>
      <vt:lpstr>Generali Akcje MIŚS</vt:lpstr>
      <vt:lpstr>Generali Akcje Nowa Europa</vt:lpstr>
      <vt:lpstr>Generali Akcje Wzrostu</vt:lpstr>
      <vt:lpstr>Generali Korona Akcje</vt:lpstr>
      <vt:lpstr>Generali Korona Obligacje</vt:lpstr>
      <vt:lpstr>Generali Korona Doch.</vt:lpstr>
      <vt:lpstr>Generali Korona Zrównoważony</vt:lpstr>
      <vt:lpstr>Generali Oszcz.</vt:lpstr>
      <vt:lpstr>Generali Obligacje Nowa Europa</vt:lpstr>
      <vt:lpstr>Generali Stabilny Wzrost</vt:lpstr>
      <vt:lpstr>Generali Obligacje Aktywny</vt:lpstr>
      <vt:lpstr>Generali Akcje Daleki Wschod</vt:lpstr>
      <vt:lpstr>dodatkowedane</vt:lpstr>
      <vt:lpstr>'Aktywny - Surowce i Nowe Gosp.'!Obszar_wydruku</vt:lpstr>
      <vt:lpstr>'Allianz Obligacji Plus'!Obszar_wydruku</vt:lpstr>
      <vt:lpstr>'Aviva Dł.Pap.Korp.'!Obszar_wydruku</vt:lpstr>
      <vt:lpstr>'Franklin EDF'!Obszar_wydruku</vt:lpstr>
      <vt:lpstr>'Franklin NR'!Obszar_wydruku</vt:lpstr>
      <vt:lpstr>'Fundusz Akcji Glob.'!Obszar_wydruku</vt:lpstr>
      <vt:lpstr>'Fundusz Akcji Małych i ŚS'!Obszar_wydruku</vt:lpstr>
      <vt:lpstr>'Fundusz Akcji Plus'!Obszar_wydruku</vt:lpstr>
      <vt:lpstr>'Fundusz Aktywnej Alokacji'!Obszar_wydruku</vt:lpstr>
      <vt:lpstr>'Fundusz Aktywny'!Obszar_wydruku</vt:lpstr>
      <vt:lpstr>'Fundusz Azjatycki'!Obszar_wydruku</vt:lpstr>
      <vt:lpstr>'Fundusz Dynamiczny'!Obszar_wydruku</vt:lpstr>
      <vt:lpstr>'Fundusz Energetyczny'!Obszar_wydruku</vt:lpstr>
      <vt:lpstr>'Fundusz Gwarantowany'!Obszar_wydruku</vt:lpstr>
      <vt:lpstr>'Fundusz Konserwatywny'!Obszar_wydruku</vt:lpstr>
      <vt:lpstr>'Fundusz Międzynarodowy'!Obszar_wydruku</vt:lpstr>
      <vt:lpstr>'Fundusz Obligacji'!Obszar_wydruku</vt:lpstr>
      <vt:lpstr>'Fundusz Obligacji Glob.'!Obszar_wydruku</vt:lpstr>
      <vt:lpstr>'Fundusz Pieniężny'!Obszar_wydruku</vt:lpstr>
      <vt:lpstr>'Fundusz Polskich Obl. Skarb.'!Obszar_wydruku</vt:lpstr>
      <vt:lpstr>'Fundusz Selektywny'!Obszar_wydruku</vt:lpstr>
      <vt:lpstr>'Fundusz Zrównoważony'!Obszar_wydruku</vt:lpstr>
      <vt:lpstr>'Generali Korona Obligacje'!Obszar_wydruku</vt:lpstr>
      <vt:lpstr>'Generali Obligacje Nowa Europa'!Obszar_wydruku</vt:lpstr>
      <vt:lpstr>'Investor Akcji Sp.Dyw.'!Obszar_wydruku</vt:lpstr>
      <vt:lpstr>'Investor Ameryka Łacińska'!Obszar_wydruku</vt:lpstr>
      <vt:lpstr>'Inwestor Akcji'!Obszar_wydruku</vt:lpstr>
      <vt:lpstr>'NN Eur.SD'!Obszar_wydruku</vt:lpstr>
      <vt:lpstr>'NN Glob. Długu Korp.'!Obszar_wydruku</vt:lpstr>
      <vt:lpstr>'NN Glob.SD'!Obszar_wydruku</vt:lpstr>
      <vt:lpstr>'Noble A'!Obszar_wydruku</vt:lpstr>
      <vt:lpstr>'Noble GR'!Obszar_wydruku</vt:lpstr>
      <vt:lpstr>'Pekao AGD'!Obszar_wydruku</vt:lpstr>
      <vt:lpstr>'Pekao DA2'!Obszar_wydruku</vt:lpstr>
      <vt:lpstr>'Pekao DS'!Obszar_wydruku</vt:lpstr>
      <vt:lpstr>'Pekao Kons.'!Obszar_wydruku</vt:lpstr>
      <vt:lpstr>'Pekao Kons.+'!Obszar_wydruku</vt:lpstr>
      <vt:lpstr>'Pekao OP'!Obszar_wydruku</vt:lpstr>
      <vt:lpstr>'Pekao Spokojna Inw'!Obszar_wydruku</vt:lpstr>
      <vt:lpstr>'Pekao Stab.Inwest.'!Obszar_wydruku</vt:lpstr>
      <vt:lpstr>'Portfel Aktywnej Alokacji'!Obszar_wydruku</vt:lpstr>
      <vt:lpstr>'Portfel ARR'!Obszar_wydruku</vt:lpstr>
      <vt:lpstr>'Portfel ARW'!Obszar_wydruku</vt:lpstr>
      <vt:lpstr>'Portfel Dynamiczny'!Obszar_wydruku</vt:lpstr>
      <vt:lpstr>'Portfel OZ'!Obszar_wydruku</vt:lpstr>
      <vt:lpstr>'Portfel Stabilnego Wzrostu'!Obszar_wydruku</vt:lpstr>
      <vt:lpstr>'PZU AMiŚS'!Obszar_wydruku</vt:lpstr>
      <vt:lpstr>'PZU ARR'!Obszar_wydruku</vt:lpstr>
      <vt:lpstr>'PZU M'!Obszar_wydruku</vt:lpstr>
      <vt:lpstr>'PZU Zrówn.'!Obszar_wydruku</vt:lpstr>
      <vt:lpstr>'Quercus A'!Obszar_wydruku</vt:lpstr>
      <vt:lpstr>'Quercus LEV'!Obszar_wydruku</vt:lpstr>
      <vt:lpstr>'Quercus R'!Obszar_wydruku</vt:lpstr>
      <vt:lpstr>'Quercus Stab.'!Obszar_wydruku</vt:lpstr>
      <vt:lpstr>'Schroder ISF FME'!Obszar_wydruku</vt:lpstr>
      <vt:lpstr>'Schroder ISF GDG'!Obszar_wydruku</vt:lpstr>
      <vt:lpstr>'Schroder ISF GHIB'!Obszar_wydruku</vt:lpstr>
      <vt:lpstr>'Skarbiec Kons.'!Obszar_wydruku</vt:lpstr>
      <vt:lpstr>'Skarbiec OWD'!Obszar_wydruku</vt:lpstr>
      <vt:lpstr>'Templeton GTR'!Obszar_wydruku</vt:lpstr>
      <vt:lpstr>'Templeton LA'!Obszar_wydruku</vt:lpstr>
      <vt:lpstr>'Zaabezpieczony - Europy Wsch.'!Obszar_wydruku</vt:lpstr>
      <vt:lpstr>'Zabezpieczony - Dalekiego Wsch.'!Obszar_wydruku</vt:lpstr>
    </vt:vector>
  </TitlesOfParts>
  <Company>Allianz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pprzeborowski</dc:creator>
  <cp:lastModifiedBy>Krasnodebska Izabela</cp:lastModifiedBy>
  <cp:lastPrinted>2015-02-02T16:54:01Z</cp:lastPrinted>
  <dcterms:created xsi:type="dcterms:W3CDTF">2012-07-31T14:09:53Z</dcterms:created>
  <dcterms:modified xsi:type="dcterms:W3CDTF">2020-02-07T08:34:02Z</dcterms:modified>
</cp:coreProperties>
</file>